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oa365-my.sharepoint.com/personal/krisv_oslomet_no/Documents/Skrivebord/"/>
    </mc:Choice>
  </mc:AlternateContent>
  <xr:revisionPtr revIDLastSave="0" documentId="8_{3E17FA32-7F47-498D-8AA2-D619E8E471A7}" xr6:coauthVersionLast="47" xr6:coauthVersionMax="47" xr10:uidLastSave="{00000000-0000-0000-0000-000000000000}"/>
  <bookViews>
    <workbookView xWindow="-110" yWindow="-110" windowWidth="19420" windowHeight="11500" xr2:uid="{6768F42E-5EE9-4C5D-960E-466B9DD75D15}"/>
  </bookViews>
  <sheets>
    <sheet name="VEILEDNING" sheetId="6" r:id="rId1"/>
    <sheet name="INNTEKTER" sheetId="1" r:id="rId2"/>
    <sheet name="DIREKTE KOSTNADER FAK" sheetId="2" r:id="rId3"/>
    <sheet name="indirekte kostnader" sheetId="4" r:id="rId4"/>
    <sheet name="RESULTAT" sheetId="3" r:id="rId5"/>
    <sheet name="Stillingskategori og FoU-tid" sheetId="5" r:id="rId6"/>
  </sheets>
  <definedNames>
    <definedName name="_Hlk147135798" localSheetId="2">'DIREKTE KOSTNADER FAK'!#REF!</definedName>
    <definedName name="_Hlk147135798" localSheetId="3">'indirekte kostnader'!#REF!</definedName>
    <definedName name="_Hlk147135798" localSheetId="1">INNTEKTER!#REF!</definedName>
    <definedName name="_Hlk147135798" localSheetId="4">RESULTAT!#REF!</definedName>
    <definedName name="DBSats" localSheetId="2">#REF!</definedName>
    <definedName name="DBSats" localSheetId="3">#REF!</definedName>
    <definedName name="DBSats" localSheetId="1">#REF!</definedName>
    <definedName name="DBSats" localSheetId="4">#REF!</definedName>
    <definedName name="DBSats">#REF!</definedName>
    <definedName name="FaktorFinnmark" localSheetId="2">#REF!</definedName>
    <definedName name="FaktorFinnmark" localSheetId="3">#REF!</definedName>
    <definedName name="FaktorFinnmark" localSheetId="1">#REF!</definedName>
    <definedName name="FaktorFinnmark" localSheetId="4">#REF!</definedName>
    <definedName name="FaktorFinnmark">#REF!</definedName>
    <definedName name="FaktorTromsø" localSheetId="2">#REF!</definedName>
    <definedName name="FaktorTromsø" localSheetId="3">#REF!</definedName>
    <definedName name="FaktorTromsø" localSheetId="1">#REF!</definedName>
    <definedName name="FaktorTromsø" localSheetId="4">#REF!</definedName>
    <definedName name="FaktorTromsø">#REF!</definedName>
    <definedName name="Kontooversikt" localSheetId="2">#REF!</definedName>
    <definedName name="Kontooversikt" localSheetId="3">#REF!</definedName>
    <definedName name="Kontooversikt" localSheetId="1">#REF!</definedName>
    <definedName name="Kontooversikt" localSheetId="4">#REF!</definedName>
    <definedName name="Kontooversikt">#REF!</definedName>
    <definedName name="KontoplanDes" localSheetId="2">#REF!</definedName>
    <definedName name="KontoplanDes" localSheetId="3">#REF!</definedName>
    <definedName name="KontoplanDes" localSheetId="1">#REF!</definedName>
    <definedName name="KontoplanDes" localSheetId="4">#REF!</definedName>
    <definedName name="KontoplanDes">#REF!</definedName>
    <definedName name="Prioriterte" localSheetId="2">#REF!</definedName>
    <definedName name="Prioriterte" localSheetId="3">#REF!</definedName>
    <definedName name="Prioriterte" localSheetId="1">#REF!</definedName>
    <definedName name="Prioriterte" localSheetId="4">#REF!</definedName>
    <definedName name="Prioriterte">#REF!</definedName>
    <definedName name="RSPdok" localSheetId="2">#REF!</definedName>
    <definedName name="RSPdok" localSheetId="3">#REF!</definedName>
    <definedName name="RSPdok" localSheetId="1">#REF!</definedName>
    <definedName name="RSPdok" localSheetId="4">#REF!</definedName>
    <definedName name="RSPdo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G20" i="5"/>
  <c r="G21" i="5"/>
  <c r="G22" i="5"/>
  <c r="G13" i="5"/>
  <c r="C35" i="2"/>
  <c r="C19" i="4" s="1"/>
  <c r="C11" i="4"/>
  <c r="B60" i="1"/>
  <c r="B3" i="3"/>
  <c r="D23" i="1" l="1"/>
  <c r="B25" i="1"/>
  <c r="C22" i="1"/>
  <c r="D29" i="1" l="1"/>
  <c r="E29" i="1" s="1"/>
  <c r="C20" i="1"/>
  <c r="C11" i="1"/>
  <c r="C21" i="1" s="1"/>
  <c r="B4" i="3"/>
  <c r="C7" i="2"/>
  <c r="C26" i="1" l="1"/>
  <c r="C23" i="1"/>
  <c r="C60" i="2" l="1"/>
  <c r="C57" i="2"/>
  <c r="C9" i="2"/>
  <c r="C29" i="4"/>
  <c r="D29" i="4" s="1"/>
  <c r="E29" i="4" s="1"/>
  <c r="F29" i="4" s="1"/>
  <c r="G29" i="4" s="1"/>
  <c r="H29" i="4" s="1"/>
  <c r="I29" i="4" s="1"/>
  <c r="J29" i="4" s="1"/>
  <c r="C26" i="4"/>
  <c r="D26" i="4" s="1"/>
  <c r="E26" i="4" s="1"/>
  <c r="F26" i="4" s="1"/>
  <c r="G26" i="4" s="1"/>
  <c r="H26" i="4" s="1"/>
  <c r="I26" i="4" s="1"/>
  <c r="J26" i="4" s="1"/>
  <c r="C14" i="4"/>
  <c r="C13" i="4"/>
  <c r="C16" i="4"/>
  <c r="C15" i="4"/>
  <c r="C6" i="2"/>
  <c r="C8" i="2"/>
  <c r="F13" i="5"/>
  <c r="F14" i="5"/>
  <c r="F15" i="5"/>
  <c r="F16" i="5"/>
  <c r="F17" i="5"/>
  <c r="F18" i="5"/>
  <c r="F19" i="5"/>
  <c r="F21" i="5"/>
  <c r="B22" i="5"/>
  <c r="C22" i="5"/>
  <c r="D22" i="5"/>
  <c r="E22" i="5"/>
  <c r="D35" i="2" l="1"/>
  <c r="F22" i="5"/>
  <c r="D23" i="5" s="1"/>
  <c r="D6" i="5" s="1"/>
  <c r="C20" i="4"/>
  <c r="E23" i="5" l="1"/>
  <c r="E6" i="5" s="1"/>
  <c r="C23" i="5"/>
  <c r="C6" i="5" s="1"/>
  <c r="F23" i="5"/>
  <c r="B23" i="5"/>
  <c r="B6" i="5" s="1"/>
  <c r="F5" i="5" l="1"/>
  <c r="B12" i="3"/>
  <c r="D13" i="3"/>
  <c r="C13" i="3"/>
  <c r="C59" i="1" l="1"/>
  <c r="D59" i="1" s="1"/>
  <c r="E59" i="1" s="1"/>
  <c r="F59" i="1" s="1"/>
  <c r="G59" i="1" s="1"/>
  <c r="H59" i="1" s="1"/>
  <c r="I59" i="1" s="1"/>
  <c r="J59" i="1" s="1"/>
  <c r="K59" i="1" s="1"/>
  <c r="C51" i="1"/>
  <c r="D51" i="1" s="1"/>
  <c r="E51" i="1" s="1"/>
  <c r="F51" i="1" s="1"/>
  <c r="G51" i="1" s="1"/>
  <c r="H51" i="1" s="1"/>
  <c r="I51" i="1" s="1"/>
  <c r="J51" i="1" s="1"/>
  <c r="K51" i="1" s="1"/>
  <c r="D60" i="2"/>
  <c r="E60" i="2" s="1"/>
  <c r="F60" i="2" s="1"/>
  <c r="G60" i="2" s="1"/>
  <c r="H60" i="2" s="1"/>
  <c r="I60" i="2" s="1"/>
  <c r="J60" i="2" s="1"/>
  <c r="C21" i="2"/>
  <c r="D33" i="2" s="1"/>
  <c r="C19" i="2"/>
  <c r="D19" i="2" s="1"/>
  <c r="C20" i="2"/>
  <c r="D20" i="2" s="1"/>
  <c r="D21" i="2" l="1"/>
  <c r="C12" i="3" l="1"/>
  <c r="D12" i="3" s="1"/>
  <c r="E12" i="3" s="1"/>
  <c r="F12" i="3" s="1"/>
  <c r="G12" i="3" s="1"/>
  <c r="H12" i="3" s="1"/>
  <c r="I12" i="3" s="1"/>
  <c r="J12" i="3" s="1"/>
  <c r="D57" i="2" l="1"/>
  <c r="E57" i="2" s="1"/>
  <c r="F57" i="2" s="1"/>
  <c r="G57" i="2" s="1"/>
  <c r="H57" i="2" s="1"/>
  <c r="I57" i="2" s="1"/>
  <c r="J57" i="2" s="1"/>
  <c r="D51" i="2"/>
  <c r="C43" i="2"/>
  <c r="D40" i="2"/>
  <c r="D43" i="2" s="1"/>
  <c r="C21" i="4" s="1"/>
  <c r="C22" i="4" s="1"/>
  <c r="C23" i="4" s="1"/>
  <c r="C34" i="2"/>
  <c r="D27" i="2"/>
  <c r="D28" i="2"/>
  <c r="D29" i="2"/>
  <c r="D30" i="2"/>
  <c r="D31" i="2"/>
  <c r="D32" i="2"/>
  <c r="D26" i="2"/>
  <c r="D14" i="2"/>
  <c r="D15" i="2"/>
  <c r="D16" i="2"/>
  <c r="D17" i="2"/>
  <c r="D18" i="2"/>
  <c r="D13" i="2"/>
  <c r="D34" i="2" l="1"/>
  <c r="D53" i="2" s="1"/>
  <c r="D54" i="2" l="1"/>
  <c r="E40" i="1"/>
  <c r="C27" i="1"/>
  <c r="D27" i="1" s="1"/>
  <c r="E27" i="1" s="1"/>
  <c r="F27" i="1" s="1"/>
  <c r="G27" i="1" s="1"/>
  <c r="C33" i="1"/>
  <c r="D33" i="1" s="1"/>
  <c r="E33" i="1" s="1"/>
  <c r="F33" i="1" s="1"/>
  <c r="G33" i="1" s="1"/>
  <c r="H33" i="1" s="1"/>
  <c r="C39" i="1"/>
  <c r="D39" i="1" s="1"/>
  <c r="E39" i="1" s="1"/>
  <c r="F39" i="1" s="1"/>
  <c r="G39" i="1" s="1"/>
  <c r="H39" i="1" s="1"/>
  <c r="I39" i="1" s="1"/>
  <c r="C45" i="1"/>
  <c r="D45" i="1" s="1"/>
  <c r="E45" i="1" s="1"/>
  <c r="F45" i="1" s="1"/>
  <c r="G45" i="1" s="1"/>
  <c r="H45" i="1" s="1"/>
  <c r="I45" i="1" s="1"/>
  <c r="J45" i="1" s="1"/>
  <c r="K45" i="1" s="1"/>
  <c r="H47" i="1" l="1"/>
  <c r="I47" i="1" s="1"/>
  <c r="J47" i="1" s="1"/>
  <c r="K47" i="1" s="1"/>
  <c r="D41" i="1"/>
  <c r="D42" i="1" s="1"/>
  <c r="G47" i="1"/>
  <c r="C41" i="1"/>
  <c r="C42" i="1" s="1"/>
  <c r="C43" i="1" s="1"/>
  <c r="E35" i="1"/>
  <c r="F35" i="1" s="1"/>
  <c r="G35" i="1" s="1"/>
  <c r="H35" i="1" s="1"/>
  <c r="F47" i="1"/>
  <c r="E47" i="1"/>
  <c r="D35" i="1"/>
  <c r="D36" i="1" s="1"/>
  <c r="D47" i="1"/>
  <c r="D48" i="1" s="1"/>
  <c r="C35" i="1"/>
  <c r="C36" i="1" s="1"/>
  <c r="C37" i="1" s="1"/>
  <c r="C47" i="1"/>
  <c r="C48" i="1" s="1"/>
  <c r="C49" i="1" s="1"/>
  <c r="F41" i="1"/>
  <c r="C29" i="1"/>
  <c r="C30" i="1" s="1"/>
  <c r="C31" i="1" s="1"/>
  <c r="E41" i="1"/>
  <c r="E42" i="1" s="1"/>
  <c r="E54" i="1" s="1"/>
  <c r="J46" i="1"/>
  <c r="K46" i="1" s="1"/>
  <c r="G40" i="1"/>
  <c r="I46" i="1"/>
  <c r="F40" i="1"/>
  <c r="H46" i="1"/>
  <c r="G46" i="1"/>
  <c r="F46" i="1"/>
  <c r="G34" i="1"/>
  <c r="H34" i="1" s="1"/>
  <c r="E46" i="1"/>
  <c r="F34" i="1"/>
  <c r="E34" i="1"/>
  <c r="H40" i="1"/>
  <c r="I40" i="1" s="1"/>
  <c r="F28" i="1"/>
  <c r="G28" i="1" s="1"/>
  <c r="E28" i="1"/>
  <c r="F42" i="1" l="1"/>
  <c r="F54" i="1" s="1"/>
  <c r="H48" i="1"/>
  <c r="H55" i="1" s="1"/>
  <c r="G48" i="1"/>
  <c r="G55" i="1" s="1"/>
  <c r="K48" i="1"/>
  <c r="K55" i="1" s="1"/>
  <c r="H36" i="1"/>
  <c r="H53" i="1" s="1"/>
  <c r="E48" i="1"/>
  <c r="F36" i="1"/>
  <c r="F53" i="1" s="1"/>
  <c r="E36" i="1"/>
  <c r="G41" i="1"/>
  <c r="G42" i="1" s="1"/>
  <c r="D49" i="1"/>
  <c r="E43" i="1"/>
  <c r="I48" i="1"/>
  <c r="J48" i="1"/>
  <c r="J55" i="1" s="1"/>
  <c r="F48" i="1"/>
  <c r="D37" i="1"/>
  <c r="D43" i="1"/>
  <c r="F43" i="1"/>
  <c r="G36" i="1"/>
  <c r="G53" i="1" s="1"/>
  <c r="D30" i="1"/>
  <c r="D31" i="1" s="1"/>
  <c r="I53" i="1" l="1"/>
  <c r="G43" i="1"/>
  <c r="G54" i="1"/>
  <c r="G60" i="1" s="1"/>
  <c r="G13" i="3" s="1"/>
  <c r="H49" i="1"/>
  <c r="E37" i="1"/>
  <c r="E53" i="1"/>
  <c r="E60" i="1" s="1"/>
  <c r="G49" i="1"/>
  <c r="F55" i="1"/>
  <c r="F60" i="1" s="1"/>
  <c r="F13" i="3" s="1"/>
  <c r="E49" i="1"/>
  <c r="E55" i="1"/>
  <c r="I49" i="1"/>
  <c r="I55" i="1"/>
  <c r="K49" i="1"/>
  <c r="H41" i="1"/>
  <c r="I41" i="1" s="1"/>
  <c r="I42" i="1" s="1"/>
  <c r="I54" i="1" s="1"/>
  <c r="J54" i="1" s="1"/>
  <c r="K54" i="1" s="1"/>
  <c r="F37" i="1"/>
  <c r="G37" i="1"/>
  <c r="J49" i="1"/>
  <c r="F49" i="1"/>
  <c r="H37" i="1"/>
  <c r="F29" i="1"/>
  <c r="E30" i="1"/>
  <c r="E13" i="3" l="1"/>
  <c r="J53" i="1"/>
  <c r="I60" i="1"/>
  <c r="E31" i="1"/>
  <c r="E52" i="1"/>
  <c r="H42" i="1"/>
  <c r="I43" i="1" s="1"/>
  <c r="F30" i="1"/>
  <c r="G29" i="1"/>
  <c r="G30" i="1" s="1"/>
  <c r="I13" i="3" l="1"/>
  <c r="K53" i="1"/>
  <c r="K60" i="1" s="1"/>
  <c r="I61" i="1" s="1"/>
  <c r="J60" i="1"/>
  <c r="C5" i="3" s="1"/>
  <c r="D5" i="3" s="1"/>
  <c r="F31" i="1"/>
  <c r="F52" i="1"/>
  <c r="G31" i="1"/>
  <c r="G52" i="1"/>
  <c r="H52" i="1" s="1"/>
  <c r="I52" i="1" s="1"/>
  <c r="J52" i="1" s="1"/>
  <c r="K52" i="1" s="1"/>
  <c r="H43" i="1"/>
  <c r="H54" i="1"/>
  <c r="H60" i="1" s="1"/>
  <c r="H13" i="3" s="1"/>
  <c r="G27" i="4" l="1"/>
  <c r="G30" i="4" s="1"/>
  <c r="G16" i="3" s="1"/>
  <c r="G58" i="2"/>
  <c r="G61" i="2" s="1"/>
  <c r="G14" i="3" s="1"/>
  <c r="G15" i="3" s="1"/>
  <c r="J13" i="3"/>
  <c r="J61" i="1"/>
  <c r="K61" i="1"/>
  <c r="F61" i="1"/>
  <c r="G61" i="1"/>
  <c r="H61" i="1"/>
  <c r="E61" i="1"/>
  <c r="H27" i="4" l="1"/>
  <c r="H30" i="4" s="1"/>
  <c r="H16" i="3" s="1"/>
  <c r="H58" i="2"/>
  <c r="H61" i="2" s="1"/>
  <c r="H14" i="3" s="1"/>
  <c r="H15" i="3" s="1"/>
  <c r="C27" i="4"/>
  <c r="C30" i="4" s="1"/>
  <c r="C16" i="3" s="1"/>
  <c r="C58" i="2"/>
  <c r="C61" i="2" s="1"/>
  <c r="C14" i="3" s="1"/>
  <c r="C15" i="3" s="1"/>
  <c r="F27" i="4"/>
  <c r="F30" i="4" s="1"/>
  <c r="F16" i="3" s="1"/>
  <c r="F58" i="2"/>
  <c r="F61" i="2" s="1"/>
  <c r="F14" i="3" s="1"/>
  <c r="F15" i="3" s="1"/>
  <c r="G17" i="3"/>
  <c r="E27" i="4"/>
  <c r="E30" i="4" s="1"/>
  <c r="E16" i="3" s="1"/>
  <c r="E58" i="2"/>
  <c r="E61" i="2" s="1"/>
  <c r="E14" i="3" s="1"/>
  <c r="E15" i="3" s="1"/>
  <c r="D27" i="4"/>
  <c r="D30" i="4" s="1"/>
  <c r="D16" i="3" s="1"/>
  <c r="D58" i="2"/>
  <c r="D61" i="2" s="1"/>
  <c r="D14" i="3" s="1"/>
  <c r="D15" i="3" s="1"/>
  <c r="I27" i="4"/>
  <c r="I30" i="4" s="1"/>
  <c r="I16" i="3" s="1"/>
  <c r="I58" i="2"/>
  <c r="J27" i="4" l="1"/>
  <c r="J30" i="4" s="1"/>
  <c r="C8" i="3" s="1"/>
  <c r="E17" i="3"/>
  <c r="D17" i="3"/>
  <c r="F17" i="3"/>
  <c r="C17" i="3"/>
  <c r="J58" i="2"/>
  <c r="J61" i="2" s="1"/>
  <c r="I61" i="2"/>
  <c r="I14" i="3" s="1"/>
  <c r="I15" i="3" s="1"/>
  <c r="I17" i="3" s="1"/>
  <c r="H17" i="3"/>
  <c r="J16" i="3"/>
  <c r="J14" i="3" l="1"/>
  <c r="J15" i="3" s="1"/>
  <c r="J17" i="3" s="1"/>
  <c r="C6" i="3"/>
  <c r="D8" i="3"/>
  <c r="D6" i="3" l="1"/>
  <c r="D7" i="3" s="1"/>
  <c r="D9" i="3" s="1"/>
  <c r="C7" i="3"/>
  <c r="C9" i="3" s="1"/>
</calcChain>
</file>

<file path=xl/sharedStrings.xml><?xml version="1.0" encoding="utf-8"?>
<sst xmlns="http://schemas.openxmlformats.org/spreadsheetml/2006/main" count="235" uniqueCount="163">
  <si>
    <t>endring fra foregående år</t>
  </si>
  <si>
    <t>SUM INNTEKT</t>
  </si>
  <si>
    <t>Studieplasstildeling</t>
  </si>
  <si>
    <t>Resultatbasert uttelling studiepoeng</t>
  </si>
  <si>
    <t>Hvis årsstudium</t>
  </si>
  <si>
    <t>Studieplasstildeling, beløp per plass</t>
  </si>
  <si>
    <t xml:space="preserve">Uttelling per SPE </t>
  </si>
  <si>
    <t>Skriv JA hvis nye studieplasser med midler fra KD</t>
  </si>
  <si>
    <t>Studieplasstildeling: (JA eller NEI)</t>
  </si>
  <si>
    <t>Oppstart år</t>
  </si>
  <si>
    <t>Antall studiepoeng per student per år</t>
  </si>
  <si>
    <t>Finansieringskategori: (1 eller 2)</t>
  </si>
  <si>
    <t>Studieprogram:</t>
  </si>
  <si>
    <t>Fyll ut i gule celler</t>
  </si>
  <si>
    <t>1 SPE= 60 studiepoeng. Alle OSloMets studier er i kategori 1 eller 2</t>
  </si>
  <si>
    <t>Beløp per SPE</t>
  </si>
  <si>
    <t>plass</t>
  </si>
  <si>
    <t>Finansieringskategori</t>
  </si>
  <si>
    <t>studie-</t>
  </si>
  <si>
    <t>Resultatbasert uttelling</t>
  </si>
  <si>
    <t>KD-satser 2026</t>
  </si>
  <si>
    <t>Beregning av kostnader opprettelse nye studier eller økt opptak  (oppstart høst)</t>
  </si>
  <si>
    <t>Stillingskategori</t>
  </si>
  <si>
    <t xml:space="preserve">per time </t>
  </si>
  <si>
    <t>Gjennomsnitt OsloMet</t>
  </si>
  <si>
    <t>Høgsk-/øvingslærer/universitetslektor</t>
  </si>
  <si>
    <t>Førsteamanuensis/førstelektor</t>
  </si>
  <si>
    <t>Professor/dosent</t>
  </si>
  <si>
    <t>Stipendiat</t>
  </si>
  <si>
    <t>Postdoktor</t>
  </si>
  <si>
    <t>Teknisk- administrativ ansatt (TA)</t>
  </si>
  <si>
    <t>SATSER LØNN 2026 (inkl. sos.utg)</t>
  </si>
  <si>
    <t>Studentassistent</t>
  </si>
  <si>
    <t>Ekstern timelærer</t>
  </si>
  <si>
    <t>Teknisk ansatt</t>
  </si>
  <si>
    <t>Årsverk</t>
  </si>
  <si>
    <t xml:space="preserve">beløp </t>
  </si>
  <si>
    <t>SUM LØNNSKOSTNAD INSTITUTT</t>
  </si>
  <si>
    <t>Direkte merkostnad lønn fagmiljø (inkluderer deres tid til både undervisning, veiledning, vurdering, FoU og adm)</t>
  </si>
  <si>
    <t>Direkte merkostnad lønn fakultetsadministrasjon</t>
  </si>
  <si>
    <t>SUM LØNNSKOSTNAD FAKADM.</t>
  </si>
  <si>
    <t>Malen er bare et utgangspunkt, må tilpasses etter studiets egenart og fakultetets behov</t>
  </si>
  <si>
    <t>Andre direkte kostnader fakultet</t>
  </si>
  <si>
    <t>Type kostnad</t>
  </si>
  <si>
    <t>Materiell</t>
  </si>
  <si>
    <t>Praksis</t>
  </si>
  <si>
    <t>SUM ANDRE KOSTNADER</t>
  </si>
  <si>
    <t>SUM KOSTNADER</t>
  </si>
  <si>
    <t xml:space="preserve">Årslønn </t>
  </si>
  <si>
    <t xml:space="preserve">Antall nye studieplasser   </t>
  </si>
  <si>
    <t>Antall nye studenter</t>
  </si>
  <si>
    <t>Sammenstilling inntekt og kostnad ved opprettelse nye studier eller økt opptak  (oppstart høst)</t>
  </si>
  <si>
    <t>Direkte kostnader fakultet</t>
  </si>
  <si>
    <t>Beregning av inntekter nye studier eller økt opptak  (heltid, oppstart høst)</t>
  </si>
  <si>
    <t>Kommentar</t>
  </si>
  <si>
    <t>TDI-sats 2026</t>
  </si>
  <si>
    <t>TDI-sats 2026 (seniorrådgiver)</t>
  </si>
  <si>
    <t>Angi årsverkbehov ved full drift av det nye studiet/det økte opptaket</t>
  </si>
  <si>
    <t>Angi behov ved full drift av det nye studiet/det økte opptaket</t>
  </si>
  <si>
    <t>Annet:</t>
  </si>
  <si>
    <t>% kostnad</t>
  </si>
  <si>
    <t>Inntekter fakultet</t>
  </si>
  <si>
    <t>INNTEKTER</t>
  </si>
  <si>
    <t>Årsstudium</t>
  </si>
  <si>
    <t>Hvis BA-program (3-årig)</t>
  </si>
  <si>
    <t>Hvis MA-program (2-årig)</t>
  </si>
  <si>
    <t>Hvis MA-program (5-årig)</t>
  </si>
  <si>
    <t>MA-program (2-årig)</t>
  </si>
  <si>
    <t>MA-program (5-årig)</t>
  </si>
  <si>
    <t>BA-program (3-årig)</t>
  </si>
  <si>
    <t>Studieprogram, navn:</t>
  </si>
  <si>
    <t>Studieprogram, type:</t>
  </si>
  <si>
    <t>Direkte kostnader per år</t>
  </si>
  <si>
    <t>Beregning av indirekte kostnader</t>
  </si>
  <si>
    <t>SUM Undervisnings- og forskerstillinger</t>
  </si>
  <si>
    <t>1532 Dosent (førstestilling)</t>
  </si>
  <si>
    <t>1198 Førstelektor (førstestilling)</t>
  </si>
  <si>
    <t>1111 Forskningssjef (førstestilling)</t>
  </si>
  <si>
    <t>1109 Forsker (førstestilling)</t>
  </si>
  <si>
    <t>1108 Forsker</t>
  </si>
  <si>
    <t>1013 Professor (førstestilling)</t>
  </si>
  <si>
    <t>1011 Førsteamanuensis (førstestilling)</t>
  </si>
  <si>
    <t>1009 Universitetslektor</t>
  </si>
  <si>
    <t>1007 Høgskolelærer</t>
  </si>
  <si>
    <t>FAK</t>
  </si>
  <si>
    <t>TKD</t>
  </si>
  <si>
    <t>SAM</t>
  </si>
  <si>
    <t>LUI</t>
  </si>
  <si>
    <t>HV</t>
  </si>
  <si>
    <t>andel</t>
  </si>
  <si>
    <t>Basert på TDI-satser 2026 og snitt FoU-tid FAK</t>
  </si>
  <si>
    <t>Sats per forskerårsverk</t>
  </si>
  <si>
    <t>Sats per undervisningsårsverk</t>
  </si>
  <si>
    <t>Gjennomsnitt FoU-tid fakultet</t>
  </si>
  <si>
    <t>se beregningsgrunnlag eget ark</t>
  </si>
  <si>
    <t>Herav egne UF-årsverk</t>
  </si>
  <si>
    <t>SATSER</t>
  </si>
  <si>
    <t>Beløp</t>
  </si>
  <si>
    <t>Indirekte kostnader</t>
  </si>
  <si>
    <t>hentes fra arket "mal inntekter"</t>
  </si>
  <si>
    <t>Indirekte kostnader UF-årsverk</t>
  </si>
  <si>
    <t>Indirekte kostnader studenter</t>
  </si>
  <si>
    <t>Studieprogram antall år</t>
  </si>
  <si>
    <t>Når studiet er i full drift</t>
  </si>
  <si>
    <t>SUM indirekte kostnad</t>
  </si>
  <si>
    <t xml:space="preserve">Indirekte kostnader </t>
  </si>
  <si>
    <t xml:space="preserve">% </t>
  </si>
  <si>
    <t>%  indirekte kostnad</t>
  </si>
  <si>
    <t>Indirekte kostnader per år</t>
  </si>
  <si>
    <t>Resultat OsloMet</t>
  </si>
  <si>
    <t>Indirekte kostnader påløper gradvis i oppbyggingsfase. Ved full drift er det 100%</t>
  </si>
  <si>
    <t>Direkte resultat fakultet</t>
  </si>
  <si>
    <t>FoU-tid per FAK og per stillingskategori - beregning av snitt FAK</t>
  </si>
  <si>
    <t>Beregnet av copilot basert på årsverktall  og info om FoU-tid per kategori og per FAK</t>
  </si>
  <si>
    <t>Snitt FoU‑tid for hvert fakultet og sum FAK</t>
  </si>
  <si>
    <t>TDI-sats 2026 (inkluderer ikke ressursbruk for arealer til undervisning)</t>
  </si>
  <si>
    <t>Sats per student (per avlagte SPE)</t>
  </si>
  <si>
    <t>Studenter per kull  -oppgitt i antall SPE</t>
  </si>
  <si>
    <t>Oppstart år (høstsemester)</t>
  </si>
  <si>
    <t>Indirekte kostnad per avlagte SPE</t>
  </si>
  <si>
    <t>Direkte kostnad per avlagte SPE</t>
  </si>
  <si>
    <t>Per år i etableringsårene:</t>
  </si>
  <si>
    <r>
      <t xml:space="preserve">Per SPE
</t>
    </r>
    <r>
      <rPr>
        <b/>
        <sz val="10"/>
        <color theme="1"/>
        <rFont val="Aptos Narrow"/>
        <family val="2"/>
        <scheme val="minor"/>
      </rPr>
      <t xml:space="preserve"> (fullt etablert)</t>
    </r>
  </si>
  <si>
    <r>
      <t xml:space="preserve">Per år
</t>
    </r>
    <r>
      <rPr>
        <b/>
        <sz val="10"/>
        <color theme="1"/>
        <rFont val="Aptos Narrow"/>
        <family val="2"/>
        <scheme val="minor"/>
      </rPr>
      <t xml:space="preserve"> (fullt etablert)</t>
    </r>
  </si>
  <si>
    <t>Antall SPE (alle kull)</t>
  </si>
  <si>
    <t>SUM INNTEKTER</t>
  </si>
  <si>
    <t>Velg fra nedtrekksmeny</t>
  </si>
  <si>
    <t>Ressursbruk areal til undervisning utgjør ca 16000 kr per SPE</t>
  </si>
  <si>
    <t>Korrigering for dobbelttelling</t>
  </si>
  <si>
    <t>Gjelder dersom direkte kostn. FAK inneholder nye TA-årsverk i adm idet dette er inkl. i beregning av indirekte kostn.</t>
  </si>
  <si>
    <t>Kostnadene påløper gradvis i oppbyggingsfase. Ved full drift er det 100%. Forhåndsutfylt i takt med innfasing av studentene. Kan endres om ønskelig</t>
  </si>
  <si>
    <t>Kan endres om ønskelig</t>
  </si>
  <si>
    <t>Dette skal inkludere hensyn til frafall  (uten frafall ville det vært 60)</t>
  </si>
  <si>
    <t>Både på fakultet og sentralt</t>
  </si>
  <si>
    <t>ARKFANE</t>
  </si>
  <si>
    <t>KOMMENTAR</t>
  </si>
  <si>
    <t>DIREKTE KOSTNADER FAK</t>
  </si>
  <si>
    <t>RESULTAT</t>
  </si>
  <si>
    <t>Her fordelt med samme andel som innfasing av studentene</t>
  </si>
  <si>
    <t>hentes fra arket "INNTEKTER"</t>
  </si>
  <si>
    <t>beregnet fra grunnlag i "INNTEKTER"</t>
  </si>
  <si>
    <t xml:space="preserve">INNTEKTER
</t>
  </si>
  <si>
    <t>Begynn med å angi hvilket studieprogram dette gjelder.Fyll ut finansieringskategori, om det kommer studieplassmidler, antall studenter, antall studiepoeng per student per år og oppstartår.
Inntekter beregnes på grunnlag av denne informasjonen.</t>
  </si>
  <si>
    <t xml:space="preserve">Fyll ut antall årsverk UF og TA som trengs for å opprette studiet (/endre opptaket). Lønnskostnadene (er inkl. sosiale kostnader) beregnes på grunnlag av gjennomsnittslønn per stillingskategori.
Oppgi andre direkte kostnader på fakultet som trengs for å opprette studiet </t>
  </si>
  <si>
    <t>Her sammenstilles de beregnede inntektene og kostnadene</t>
  </si>
  <si>
    <t>Stillingskategori og FoU-tid</t>
  </si>
  <si>
    <t>SUM FAK</t>
  </si>
  <si>
    <t>ANDEL Undervisnings- og forskerstillinger</t>
  </si>
  <si>
    <t>Andel UF-årsverk FAK</t>
  </si>
  <si>
    <t>Gjennomsnitt sats per UF-årsverk FAK
Inkl. sats arbeidsplass</t>
  </si>
  <si>
    <t>Sats arbeidsplass</t>
  </si>
  <si>
    <t>26.2: la til sats arbeidsplass, dette kommer i tillegg til sats per årsverk i de to radene over</t>
  </si>
  <si>
    <t>Per kull -hvis det er nye studieplasser med midler fra KD</t>
  </si>
  <si>
    <r>
      <rPr>
        <b/>
        <sz val="11"/>
        <color theme="1"/>
        <rFont val="Aptos Narrow"/>
        <family val="2"/>
        <scheme val="minor"/>
      </rPr>
      <t xml:space="preserve">År: </t>
    </r>
    <r>
      <rPr>
        <sz val="11"/>
        <color theme="1"/>
        <rFont val="Aptos Narrow"/>
        <family val="2"/>
        <scheme val="minor"/>
      </rPr>
      <t xml:space="preserve">2025    </t>
    </r>
    <r>
      <rPr>
        <b/>
        <sz val="11"/>
        <color theme="1"/>
        <rFont val="Aptos Narrow"/>
        <family val="2"/>
        <scheme val="minor"/>
      </rPr>
      <t xml:space="preserve">Periode: </t>
    </r>
    <r>
      <rPr>
        <sz val="11"/>
        <color theme="1"/>
        <rFont val="Aptos Narrow"/>
        <family val="2"/>
        <scheme val="minor"/>
      </rPr>
      <t xml:space="preserve">Desember </t>
    </r>
  </si>
  <si>
    <t xml:space="preserve">Indirekte kostnader
</t>
  </si>
  <si>
    <r>
      <rPr>
        <b/>
        <sz val="11"/>
        <color theme="1"/>
        <rFont val="Aptos Narrow"/>
        <family val="2"/>
        <scheme val="minor"/>
      </rPr>
      <t>Det er ingenting å fylle ut i dette arket.</t>
    </r>
    <r>
      <rPr>
        <sz val="11"/>
        <color theme="1"/>
        <rFont val="Aptos Narrow"/>
        <family val="2"/>
        <scheme val="minor"/>
      </rPr>
      <t xml:space="preserve">
Indirekte kostnader – alt som må være på plass i bakgrunnen for at undervisningen faktisk kan skje (administrasjon, lokaler, IT, fakultetsledelse osv.).
TDI‑modellen er sektorens felles verktøy for å beregne indirekte kostnader. Den synliggjør og fordeler de indirekte kostnadene på en standardisert måte.
TDI‑satsene viser hvor mye som skal legges på i indirekte kostnader per type årsverk eller aktivitet.
I dette arket beregnes indirekte kostnader basert på TDI-satser for indirekte kostnader per UF-årsverk og per student. Dette inkluderer indirekte kostnader både på fakultetsnivå og OsloMet sentralt.</t>
    </r>
  </si>
  <si>
    <t>Veiledning for bruk av mal for beregning av inntekt og kostnad nye studier eller endret opptak</t>
  </si>
  <si>
    <r>
      <rPr>
        <b/>
        <sz val="11"/>
        <color theme="1"/>
        <rFont val="Aptos Narrow"/>
        <family val="2"/>
        <scheme val="minor"/>
      </rPr>
      <t xml:space="preserve">Det er ingenting å fylle ut i dette arket. </t>
    </r>
    <r>
      <rPr>
        <sz val="11"/>
        <color theme="1"/>
        <rFont val="Aptos Narrow"/>
        <family val="2"/>
        <scheme val="minor"/>
      </rPr>
      <t xml:space="preserve">
Dette er et grunnlagsark som beregner gjennomsnittelig FoU-tid for UF-årsverk på FAK. 
Dette er brukt for å beregne gjennomsnittsats sats indirekte kostnader per UF-årsverk</t>
    </r>
  </si>
  <si>
    <t>Antall møtt første studieår</t>
  </si>
  <si>
    <t>Er satt likt som for førsteamanuensis</t>
  </si>
  <si>
    <t>Er satt som 90% av TA-ansatt</t>
  </si>
  <si>
    <t>Er satt som 55% av TA-ansatt</t>
  </si>
  <si>
    <t>Spørsmål eller kommentarer til malen kan sendes til Gudrun Njå i økonomiavdelingen - gudrun@oslomet.no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</si>
</sst>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#,##0.0"/>
    <numFmt numFmtId="168" formatCode="#,##0_ ;\-#,##0\ "/>
    <numFmt numFmtId="169" formatCode="0.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rgb="FFFFFF00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/>
    <xf numFmtId="0" fontId="3" fillId="0" borderId="0" xfId="0" applyFont="1"/>
    <xf numFmtId="0" fontId="0" fillId="0" borderId="1" xfId="0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2" fillId="0" borderId="0" xfId="0" applyFont="1"/>
    <xf numFmtId="165" fontId="1" fillId="5" borderId="1" xfId="1" applyNumberFormat="1" applyFont="1" applyFill="1" applyBorder="1"/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165" fontId="1" fillId="2" borderId="1" xfId="1" applyNumberFormat="1" applyFont="1" applyFill="1" applyBorder="1"/>
    <xf numFmtId="165" fontId="3" fillId="5" borderId="1" xfId="1" applyNumberFormat="1" applyFont="1" applyFill="1" applyBorder="1"/>
    <xf numFmtId="0" fontId="0" fillId="4" borderId="0" xfId="0" applyFill="1"/>
    <xf numFmtId="165" fontId="0" fillId="4" borderId="0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6" borderId="2" xfId="0" applyFont="1" applyFill="1" applyBorder="1"/>
    <xf numFmtId="0" fontId="0" fillId="6" borderId="2" xfId="0" applyFill="1" applyBorder="1"/>
    <xf numFmtId="0" fontId="0" fillId="6" borderId="1" xfId="0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5" fillId="5" borderId="2" xfId="0" applyFont="1" applyFill="1" applyBorder="1" applyAlignment="1">
      <alignment vertical="center" wrapText="1"/>
    </xf>
    <xf numFmtId="3" fontId="1" fillId="5" borderId="1" xfId="1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vertical="center" wrapText="1"/>
    </xf>
    <xf numFmtId="3" fontId="3" fillId="5" borderId="1" xfId="1" applyNumberFormat="1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vertical="center" wrapText="1"/>
    </xf>
    <xf numFmtId="3" fontId="1" fillId="7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66" fontId="1" fillId="2" borderId="1" xfId="1" applyNumberFormat="1" applyFont="1" applyFill="1" applyBorder="1"/>
    <xf numFmtId="0" fontId="3" fillId="6" borderId="13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7" xfId="0" applyFont="1" applyFill="1" applyBorder="1"/>
    <xf numFmtId="165" fontId="3" fillId="6" borderId="6" xfId="1" applyNumberFormat="1" applyFont="1" applyFill="1" applyBorder="1"/>
    <xf numFmtId="165" fontId="3" fillId="6" borderId="5" xfId="1" applyNumberFormat="1" applyFont="1" applyFill="1" applyBorder="1"/>
    <xf numFmtId="165" fontId="3" fillId="6" borderId="4" xfId="1" applyNumberFormat="1" applyFont="1" applyFill="1" applyBorder="1"/>
    <xf numFmtId="0" fontId="3" fillId="6" borderId="1" xfId="0" applyFont="1" applyFill="1" applyBorder="1"/>
    <xf numFmtId="0" fontId="5" fillId="6" borderId="1" xfId="0" applyFont="1" applyFill="1" applyBorder="1" applyAlignment="1">
      <alignment horizontal="left"/>
    </xf>
    <xf numFmtId="165" fontId="1" fillId="6" borderId="1" xfId="1" applyNumberFormat="1" applyFont="1" applyFill="1" applyBorder="1"/>
    <xf numFmtId="9" fontId="1" fillId="2" borderId="1" xfId="2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166" fontId="3" fillId="5" borderId="1" xfId="1" applyNumberFormat="1" applyFont="1" applyFill="1" applyBorder="1"/>
    <xf numFmtId="3" fontId="1" fillId="8" borderId="1" xfId="1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9" fontId="0" fillId="0" borderId="1" xfId="2" applyFont="1" applyBorder="1"/>
    <xf numFmtId="0" fontId="8" fillId="0" borderId="15" xfId="0" applyFont="1" applyBorder="1"/>
    <xf numFmtId="9" fontId="1" fillId="6" borderId="1" xfId="2" applyFont="1" applyFill="1" applyBorder="1"/>
    <xf numFmtId="0" fontId="5" fillId="9" borderId="1" xfId="0" applyFont="1" applyFill="1" applyBorder="1" applyAlignment="1">
      <alignment horizontal="left"/>
    </xf>
    <xf numFmtId="166" fontId="1" fillId="9" borderId="1" xfId="1" applyNumberFormat="1" applyFont="1" applyFill="1" applyBorder="1"/>
    <xf numFmtId="165" fontId="1" fillId="9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3" fillId="5" borderId="2" xfId="0" applyFont="1" applyFill="1" applyBorder="1"/>
    <xf numFmtId="0" fontId="0" fillId="5" borderId="1" xfId="0" applyFill="1" applyBorder="1"/>
    <xf numFmtId="0" fontId="5" fillId="5" borderId="2" xfId="0" applyFont="1" applyFill="1" applyBorder="1" applyAlignment="1">
      <alignment horizontal="center" vertical="center" wrapText="1"/>
    </xf>
    <xf numFmtId="9" fontId="1" fillId="5" borderId="1" xfId="2" applyFon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165" fontId="0" fillId="0" borderId="0" xfId="0" applyNumberFormat="1"/>
    <xf numFmtId="0" fontId="12" fillId="0" borderId="15" xfId="0" applyFont="1" applyBorder="1"/>
    <xf numFmtId="0" fontId="13" fillId="0" borderId="0" xfId="0" applyFont="1"/>
    <xf numFmtId="14" fontId="5" fillId="0" borderId="0" xfId="0" applyNumberFormat="1" applyFont="1" applyAlignment="1">
      <alignment horizontal="left"/>
    </xf>
    <xf numFmtId="9" fontId="0" fillId="5" borderId="1" xfId="2" applyFont="1" applyFill="1" applyBorder="1" applyAlignment="1">
      <alignment horizontal="center"/>
    </xf>
    <xf numFmtId="0" fontId="9" fillId="5" borderId="1" xfId="0" applyFont="1" applyFill="1" applyBorder="1"/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wrapText="1"/>
    </xf>
    <xf numFmtId="3" fontId="3" fillId="6" borderId="1" xfId="1" applyNumberFormat="1" applyFont="1" applyFill="1" applyBorder="1" applyAlignment="1">
      <alignment horizontal="center"/>
    </xf>
    <xf numFmtId="168" fontId="1" fillId="5" borderId="1" xfId="1" applyNumberFormat="1" applyFont="1" applyFill="1" applyBorder="1"/>
    <xf numFmtId="0" fontId="6" fillId="0" borderId="0" xfId="0" applyFont="1"/>
    <xf numFmtId="0" fontId="0" fillId="5" borderId="16" xfId="0" applyFill="1" applyBorder="1"/>
    <xf numFmtId="0" fontId="0" fillId="5" borderId="14" xfId="0" applyFill="1" applyBorder="1"/>
    <xf numFmtId="0" fontId="7" fillId="5" borderId="2" xfId="0" applyFont="1" applyFill="1" applyBorder="1"/>
    <xf numFmtId="169" fontId="0" fillId="5" borderId="1" xfId="0" applyNumberFormat="1" applyFill="1" applyBorder="1" applyAlignment="1">
      <alignment horizontal="center"/>
    </xf>
    <xf numFmtId="0" fontId="3" fillId="0" borderId="1" xfId="0" applyFont="1" applyBorder="1"/>
    <xf numFmtId="0" fontId="7" fillId="5" borderId="1" xfId="0" applyFont="1" applyFill="1" applyBorder="1"/>
    <xf numFmtId="16" fontId="0" fillId="0" borderId="0" xfId="0" applyNumberFormat="1"/>
    <xf numFmtId="0" fontId="0" fillId="5" borderId="2" xfId="0" applyFill="1" applyBorder="1" applyAlignment="1">
      <alignment horizontal="center"/>
    </xf>
    <xf numFmtId="9" fontId="0" fillId="5" borderId="2" xfId="2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9" fontId="7" fillId="10" borderId="18" xfId="2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167" fontId="0" fillId="0" borderId="1" xfId="0" applyNumberFormat="1" applyBorder="1"/>
    <xf numFmtId="167" fontId="3" fillId="0" borderId="1" xfId="0" applyNumberFormat="1" applyFont="1" applyBorder="1"/>
    <xf numFmtId="9" fontId="3" fillId="0" borderId="1" xfId="2" applyFont="1" applyBorder="1"/>
    <xf numFmtId="0" fontId="3" fillId="11" borderId="2" xfId="0" applyFont="1" applyFill="1" applyBorder="1"/>
    <xf numFmtId="0" fontId="3" fillId="11" borderId="14" xfId="0" applyFont="1" applyFill="1" applyBorder="1"/>
    <xf numFmtId="0" fontId="7" fillId="5" borderId="19" xfId="0" applyFont="1" applyFill="1" applyBorder="1" applyAlignment="1">
      <alignment horizontal="left" wrapText="1"/>
    </xf>
    <xf numFmtId="0" fontId="0" fillId="5" borderId="20" xfId="0" applyFill="1" applyBorder="1" applyAlignment="1">
      <alignment horizontal="left"/>
    </xf>
    <xf numFmtId="0" fontId="3" fillId="6" borderId="12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4" fillId="5" borderId="2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9" borderId="1" xfId="0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447674</xdr:colOff>
      <xdr:row>1</xdr:row>
      <xdr:rowOff>141649</xdr:rowOff>
    </xdr:from>
    <xdr:ext cx="5334961" cy="1992309"/>
    <xdr:pic>
      <xdr:nvPicPr>
        <xdr:cNvPr id="2" name="Bilde 1">
          <a:extLst>
            <a:ext uri="{FF2B5EF4-FFF2-40B4-BE49-F238E27FC236}">
              <a16:creationId xmlns:a16="http://schemas.microsoft.com/office/drawing/2014/main" id="{72BECAC7-6722-4DA1-B563-E4F57FCD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3674" y="332149"/>
          <a:ext cx="5334961" cy="19923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134989</xdr:colOff>
      <xdr:row>2</xdr:row>
      <xdr:rowOff>196851</xdr:rowOff>
    </xdr:from>
    <xdr:to>
      <xdr:col>17</xdr:col>
      <xdr:colOff>143158</xdr:colOff>
      <xdr:row>20</xdr:row>
      <xdr:rowOff>161926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44B139-ACAA-C898-F461-A084236FB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1739" y="654051"/>
          <a:ext cx="4884969" cy="377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482D-4991-4652-9EB0-960C478F85AA}">
  <dimension ref="A1:C11"/>
  <sheetViews>
    <sheetView tabSelected="1" workbookViewId="0">
      <selection activeCell="C16" sqref="C16"/>
    </sheetView>
  </sheetViews>
  <sheetFormatPr baseColWidth="10" defaultRowHeight="14.5" x14ac:dyDescent="0.35"/>
  <cols>
    <col min="2" max="2" width="16.453125" customWidth="1"/>
    <col min="3" max="3" width="89.26953125" customWidth="1"/>
  </cols>
  <sheetData>
    <row r="1" spans="1:3" ht="19" thickBot="1" x14ac:dyDescent="0.45">
      <c r="A1" s="70">
        <v>46086</v>
      </c>
      <c r="B1" s="7"/>
    </row>
    <row r="2" spans="1:3" ht="31.5" customHeight="1" thickBot="1" x14ac:dyDescent="0.5">
      <c r="B2" s="96" t="s">
        <v>156</v>
      </c>
      <c r="C2" s="97"/>
    </row>
    <row r="3" spans="1:3" ht="18.5" x14ac:dyDescent="0.45">
      <c r="B3" s="84" t="s">
        <v>134</v>
      </c>
      <c r="C3" s="84" t="s">
        <v>135</v>
      </c>
    </row>
    <row r="4" spans="1:3" ht="51" customHeight="1" x14ac:dyDescent="0.35">
      <c r="B4" s="22" t="s">
        <v>141</v>
      </c>
      <c r="C4" s="66" t="s">
        <v>142</v>
      </c>
    </row>
    <row r="5" spans="1:3" ht="52.5" customHeight="1" x14ac:dyDescent="0.35">
      <c r="B5" s="22" t="s">
        <v>136</v>
      </c>
      <c r="C5" s="66" t="s">
        <v>143</v>
      </c>
    </row>
    <row r="6" spans="1:3" ht="126.75" customHeight="1" x14ac:dyDescent="0.35">
      <c r="B6" s="22" t="s">
        <v>154</v>
      </c>
      <c r="C6" s="66" t="s">
        <v>155</v>
      </c>
    </row>
    <row r="7" spans="1:3" ht="28.5" customHeight="1" x14ac:dyDescent="0.35">
      <c r="B7" s="22" t="s">
        <v>137</v>
      </c>
      <c r="C7" s="66" t="s">
        <v>144</v>
      </c>
    </row>
    <row r="8" spans="1:3" ht="43.5" x14ac:dyDescent="0.35">
      <c r="B8" s="22" t="s">
        <v>145</v>
      </c>
      <c r="C8" s="66" t="s">
        <v>157</v>
      </c>
    </row>
    <row r="11" spans="1:3" ht="26" customHeight="1" x14ac:dyDescent="0.35">
      <c r="B11" s="94" t="s">
        <v>162</v>
      </c>
      <c r="C11" s="95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656B-2063-40A6-AAA8-34A35FB40A43}">
  <dimension ref="A1:L61"/>
  <sheetViews>
    <sheetView showGridLines="0" zoomScaleNormal="100" workbookViewId="0">
      <pane ySplit="1" topLeftCell="A2" activePane="bottomLeft" state="frozen"/>
      <selection pane="bottomLeft" activeCell="C18" sqref="C18"/>
    </sheetView>
  </sheetViews>
  <sheetFormatPr baseColWidth="10" defaultColWidth="11.453125" defaultRowHeight="14.5" outlineLevelRow="1" x14ac:dyDescent="0.35"/>
  <cols>
    <col min="1" max="1" width="19.81640625" customWidth="1"/>
    <col min="2" max="2" width="34.81640625" customWidth="1"/>
    <col min="3" max="3" width="12.1796875" customWidth="1"/>
    <col min="4" max="4" width="10.81640625" customWidth="1"/>
    <col min="5" max="5" width="10" customWidth="1"/>
    <col min="6" max="6" width="10.1796875" customWidth="1"/>
    <col min="7" max="10" width="9.81640625" customWidth="1"/>
    <col min="11" max="11" width="10.453125" customWidth="1"/>
    <col min="12" max="12" width="12.81640625" customWidth="1"/>
    <col min="13" max="13" width="11.1796875" customWidth="1"/>
    <col min="14" max="14" width="11.81640625" customWidth="1"/>
    <col min="15" max="15" width="17.1796875" customWidth="1"/>
  </cols>
  <sheetData>
    <row r="1" spans="1:7" ht="18.5" x14ac:dyDescent="0.4">
      <c r="A1" s="70">
        <v>46086</v>
      </c>
      <c r="B1" s="7" t="s">
        <v>53</v>
      </c>
    </row>
    <row r="2" spans="1:7" ht="11.25" customHeight="1" thickBot="1" x14ac:dyDescent="0.4"/>
    <row r="3" spans="1:7" x14ac:dyDescent="0.35">
      <c r="B3" s="33" t="s">
        <v>20</v>
      </c>
      <c r="C3" s="98" t="s">
        <v>19</v>
      </c>
      <c r="D3" s="99"/>
      <c r="E3" s="34" t="s">
        <v>18</v>
      </c>
    </row>
    <row r="4" spans="1:7" ht="15" thickBot="1" x14ac:dyDescent="0.4">
      <c r="B4" s="35" t="s">
        <v>17</v>
      </c>
      <c r="C4" s="36">
        <v>1</v>
      </c>
      <c r="D4" s="37">
        <v>2</v>
      </c>
      <c r="E4" s="38" t="s">
        <v>16</v>
      </c>
    </row>
    <row r="5" spans="1:7" ht="15" thickBot="1" x14ac:dyDescent="0.4">
      <c r="B5" s="39" t="s">
        <v>15</v>
      </c>
      <c r="C5" s="40">
        <v>58650</v>
      </c>
      <c r="D5" s="41">
        <v>87950</v>
      </c>
      <c r="E5" s="42">
        <v>107650</v>
      </c>
    </row>
    <row r="6" spans="1:7" x14ac:dyDescent="0.35">
      <c r="B6" t="s">
        <v>14</v>
      </c>
    </row>
    <row r="7" spans="1:7" ht="16" x14ac:dyDescent="0.4">
      <c r="B7" s="6"/>
      <c r="C7" s="60" t="s">
        <v>13</v>
      </c>
      <c r="D7" s="6"/>
      <c r="E7" s="6"/>
      <c r="F7" s="6"/>
      <c r="G7" s="8"/>
    </row>
    <row r="8" spans="1:7" x14ac:dyDescent="0.35">
      <c r="G8" s="8"/>
    </row>
    <row r="9" spans="1:7" ht="19" customHeight="1" x14ac:dyDescent="0.35">
      <c r="B9" s="17" t="s">
        <v>70</v>
      </c>
      <c r="C9" s="100"/>
      <c r="D9" s="101"/>
      <c r="E9" s="101"/>
      <c r="F9" s="102"/>
    </row>
    <row r="10" spans="1:7" ht="19" customHeight="1" x14ac:dyDescent="0.35">
      <c r="B10" s="17" t="s">
        <v>71</v>
      </c>
      <c r="C10" s="103"/>
      <c r="D10" s="103"/>
      <c r="E10" s="103"/>
      <c r="F10" s="103"/>
      <c r="G10" t="s">
        <v>126</v>
      </c>
    </row>
    <row r="11" spans="1:7" ht="19" customHeight="1" x14ac:dyDescent="0.35">
      <c r="B11" s="17" t="s">
        <v>102</v>
      </c>
      <c r="C11" s="76" t="e">
        <f>VLOOKUP(INNTEKTER!$C$10,INNTEKTER!$B$52:$L$55,11,FALSE)</f>
        <v>#N/A</v>
      </c>
    </row>
    <row r="12" spans="1:7" ht="19" customHeight="1" x14ac:dyDescent="0.35"/>
    <row r="13" spans="1:7" x14ac:dyDescent="0.35">
      <c r="B13" s="18" t="s">
        <v>11</v>
      </c>
      <c r="C13" s="4"/>
    </row>
    <row r="14" spans="1:7" x14ac:dyDescent="0.35">
      <c r="B14" s="19" t="s">
        <v>8</v>
      </c>
      <c r="C14" s="4"/>
      <c r="D14" t="s">
        <v>7</v>
      </c>
    </row>
    <row r="15" spans="1:7" x14ac:dyDescent="0.35">
      <c r="B15" s="18" t="s">
        <v>49</v>
      </c>
      <c r="C15" s="5"/>
      <c r="D15" t="s">
        <v>152</v>
      </c>
    </row>
    <row r="16" spans="1:7" x14ac:dyDescent="0.35">
      <c r="B16" s="19" t="s">
        <v>50</v>
      </c>
      <c r="C16" s="4"/>
      <c r="D16" t="s">
        <v>158</v>
      </c>
    </row>
    <row r="17" spans="2:11" x14ac:dyDescent="0.35">
      <c r="B17" s="19" t="s">
        <v>10</v>
      </c>
      <c r="C17" s="4"/>
      <c r="D17" t="s">
        <v>132</v>
      </c>
    </row>
    <row r="18" spans="2:11" x14ac:dyDescent="0.35">
      <c r="B18" s="19" t="s">
        <v>118</v>
      </c>
      <c r="C18" s="4"/>
    </row>
    <row r="20" spans="2:11" x14ac:dyDescent="0.35">
      <c r="B20" s="18" t="s">
        <v>6</v>
      </c>
      <c r="C20" s="20" t="str">
        <f>IF(C13=1,C5,IF(C13=2,D5,""))</f>
        <v/>
      </c>
    </row>
    <row r="21" spans="2:11" x14ac:dyDescent="0.35">
      <c r="B21" s="18" t="s">
        <v>124</v>
      </c>
      <c r="C21" s="20" t="e">
        <f>C16/60*C17*C11</f>
        <v>#N/A</v>
      </c>
    </row>
    <row r="22" spans="2:11" x14ac:dyDescent="0.35">
      <c r="B22" s="18" t="s">
        <v>5</v>
      </c>
      <c r="C22" s="20" t="str">
        <f>IF(C14="ja",E5,IF(C14="nei","",""))</f>
        <v/>
      </c>
    </row>
    <row r="23" spans="2:11" x14ac:dyDescent="0.35">
      <c r="B23" s="19"/>
      <c r="C23" s="20" t="e">
        <f>C20*C21</f>
        <v>#VALUE!</v>
      </c>
      <c r="D23" s="67">
        <f>E5*C15</f>
        <v>0</v>
      </c>
    </row>
    <row r="25" spans="2:11" ht="28" x14ac:dyDescent="0.35">
      <c r="B25" s="22">
        <f>INNTEKTER!C10</f>
        <v>0</v>
      </c>
      <c r="C25" s="75" t="s">
        <v>123</v>
      </c>
    </row>
    <row r="26" spans="2:11" ht="16" x14ac:dyDescent="0.4">
      <c r="B26" s="51" t="s">
        <v>125</v>
      </c>
      <c r="C26" s="24" t="e">
        <f>(C20*C21)+(E5*C15)</f>
        <v>#VALUE!</v>
      </c>
    </row>
    <row r="27" spans="2:11" hidden="1" outlineLevel="1" x14ac:dyDescent="0.35">
      <c r="B27" s="22" t="s">
        <v>4</v>
      </c>
      <c r="C27" s="21">
        <f>$C$18</f>
        <v>0</v>
      </c>
      <c r="D27" s="21">
        <f>C27+1</f>
        <v>1</v>
      </c>
      <c r="E27" s="21">
        <f>D27+1</f>
        <v>2</v>
      </c>
      <c r="F27" s="21">
        <f>E27+1</f>
        <v>3</v>
      </c>
      <c r="G27" s="21">
        <f>F27+1</f>
        <v>4</v>
      </c>
      <c r="K27" s="2"/>
    </row>
    <row r="28" spans="2:11" ht="15.75" hidden="1" customHeight="1" outlineLevel="1" x14ac:dyDescent="0.35">
      <c r="B28" s="23" t="s">
        <v>3</v>
      </c>
      <c r="C28" s="27"/>
      <c r="D28" s="28"/>
      <c r="E28" s="24" t="e">
        <f>ROUND($C$16*$C$20*($C$17/60)*0.5,-1)</f>
        <v>#VALUE!</v>
      </c>
      <c r="F28" s="24" t="e">
        <f>ROUND($C$16*$C$20*($C$17/60)*1,-1)</f>
        <v>#VALUE!</v>
      </c>
      <c r="G28" s="24" t="e">
        <f>F28</f>
        <v>#VALUE!</v>
      </c>
    </row>
    <row r="29" spans="2:11" ht="15.75" hidden="1" customHeight="1" outlineLevel="1" x14ac:dyDescent="0.35">
      <c r="B29" s="23" t="s">
        <v>2</v>
      </c>
      <c r="C29" s="24" t="str">
        <f>IF($C$14="ja",$C$22*$C$15*0.5,"")</f>
        <v/>
      </c>
      <c r="D29" s="24" t="str">
        <f>IF($C$14="ja",$C$22*$C$15*1,"")</f>
        <v/>
      </c>
      <c r="E29" s="24" t="str">
        <f>D29</f>
        <v/>
      </c>
      <c r="F29" s="24" t="str">
        <f>E29</f>
        <v/>
      </c>
      <c r="G29" s="24" t="str">
        <f>F29</f>
        <v/>
      </c>
    </row>
    <row r="30" spans="2:11" ht="16" hidden="1" outlineLevel="1" x14ac:dyDescent="0.35">
      <c r="B30" s="25" t="s">
        <v>1</v>
      </c>
      <c r="C30" s="26">
        <f>SUM(C28:C29)</f>
        <v>0</v>
      </c>
      <c r="D30" s="26">
        <f>SUM(D28:D29)</f>
        <v>0</v>
      </c>
      <c r="E30" s="26" t="e">
        <f>SUM(E28:E29)</f>
        <v>#VALUE!</v>
      </c>
      <c r="F30" s="26" t="e">
        <f>SUM(F28:F29)</f>
        <v>#VALUE!</v>
      </c>
      <c r="G30" s="26" t="e">
        <f>SUM(G28:G29)</f>
        <v>#VALUE!</v>
      </c>
    </row>
    <row r="31" spans="2:11" hidden="1" outlineLevel="1" x14ac:dyDescent="0.35">
      <c r="B31" t="s">
        <v>0</v>
      </c>
      <c r="C31" s="1">
        <f>C30</f>
        <v>0</v>
      </c>
      <c r="D31" s="1">
        <f>D30-C30</f>
        <v>0</v>
      </c>
      <c r="E31" s="1" t="e">
        <f>E30-D30</f>
        <v>#VALUE!</v>
      </c>
      <c r="F31" s="1" t="e">
        <f>F30-E30</f>
        <v>#VALUE!</v>
      </c>
      <c r="G31" s="1" t="e">
        <f>G30-F30</f>
        <v>#VALUE!</v>
      </c>
    </row>
    <row r="32" spans="2:11" hidden="1" outlineLevel="1" x14ac:dyDescent="0.35"/>
    <row r="33" spans="2:11" hidden="1" outlineLevel="1" x14ac:dyDescent="0.35">
      <c r="B33" s="22" t="s">
        <v>65</v>
      </c>
      <c r="C33" s="21">
        <f>$C$18</f>
        <v>0</v>
      </c>
      <c r="D33" s="21">
        <f>C33+1</f>
        <v>1</v>
      </c>
      <c r="E33" s="21">
        <f>D33+1</f>
        <v>2</v>
      </c>
      <c r="F33" s="21">
        <f>E33+1</f>
        <v>3</v>
      </c>
      <c r="G33" s="21">
        <f>F33+1</f>
        <v>4</v>
      </c>
      <c r="H33" s="21">
        <f>G33+1</f>
        <v>5</v>
      </c>
    </row>
    <row r="34" spans="2:11" ht="16" hidden="1" outlineLevel="1" x14ac:dyDescent="0.35">
      <c r="B34" s="23" t="s">
        <v>3</v>
      </c>
      <c r="C34" s="27"/>
      <c r="D34" s="28"/>
      <c r="E34" s="24" t="e">
        <f>ROUND($C$16*$C$20*($C$17/60)*0.5,-1)</f>
        <v>#VALUE!</v>
      </c>
      <c r="F34" s="24" t="e">
        <f>ROUND($C$16*$C$20*($C$17/60)*1.5,-1)</f>
        <v>#VALUE!</v>
      </c>
      <c r="G34" s="24" t="e">
        <f>ROUND($C$16*$C$20*($C$17/60)*2,-1)</f>
        <v>#VALUE!</v>
      </c>
      <c r="H34" s="24" t="e">
        <f>G34</f>
        <v>#VALUE!</v>
      </c>
    </row>
    <row r="35" spans="2:11" ht="16" hidden="1" outlineLevel="1" x14ac:dyDescent="0.35">
      <c r="B35" s="23" t="s">
        <v>2</v>
      </c>
      <c r="C35" s="24" t="str">
        <f>IF($C$14="ja",$C$22*$C$15*0.5,"")</f>
        <v/>
      </c>
      <c r="D35" s="24" t="str">
        <f>IF($C$14="ja",$C$22*$C$15*1.5,"")</f>
        <v/>
      </c>
      <c r="E35" s="24" t="str">
        <f>IF($C$14="ja",$C$22*$C$15*2,"")</f>
        <v/>
      </c>
      <c r="F35" s="24" t="str">
        <f>E35</f>
        <v/>
      </c>
      <c r="G35" s="24" t="str">
        <f>F35</f>
        <v/>
      </c>
      <c r="H35" s="24" t="str">
        <f>G35</f>
        <v/>
      </c>
    </row>
    <row r="36" spans="2:11" ht="16" hidden="1" outlineLevel="1" x14ac:dyDescent="0.35">
      <c r="B36" s="25" t="s">
        <v>1</v>
      </c>
      <c r="C36" s="26">
        <f t="shared" ref="C36:H36" si="0">SUM(C34:C35)</f>
        <v>0</v>
      </c>
      <c r="D36" s="26">
        <f t="shared" si="0"/>
        <v>0</v>
      </c>
      <c r="E36" s="26" t="e">
        <f t="shared" si="0"/>
        <v>#VALUE!</v>
      </c>
      <c r="F36" s="26" t="e">
        <f t="shared" si="0"/>
        <v>#VALUE!</v>
      </c>
      <c r="G36" s="26" t="e">
        <f t="shared" si="0"/>
        <v>#VALUE!</v>
      </c>
      <c r="H36" s="26" t="e">
        <f t="shared" si="0"/>
        <v>#VALUE!</v>
      </c>
    </row>
    <row r="37" spans="2:11" hidden="1" outlineLevel="1" x14ac:dyDescent="0.35">
      <c r="B37" t="s">
        <v>0</v>
      </c>
      <c r="C37" s="1">
        <f>C36</f>
        <v>0</v>
      </c>
      <c r="D37" s="1">
        <f>D36-C36</f>
        <v>0</v>
      </c>
      <c r="E37" s="1" t="e">
        <f>E36-D36</f>
        <v>#VALUE!</v>
      </c>
      <c r="F37" s="1" t="e">
        <f>F36-E36</f>
        <v>#VALUE!</v>
      </c>
      <c r="G37" s="1" t="e">
        <f>G36-F36</f>
        <v>#VALUE!</v>
      </c>
      <c r="H37" s="1" t="e">
        <f>H36-G36</f>
        <v>#VALUE!</v>
      </c>
    </row>
    <row r="38" spans="2:11" hidden="1" outlineLevel="1" x14ac:dyDescent="0.35"/>
    <row r="39" spans="2:11" hidden="1" outlineLevel="1" x14ac:dyDescent="0.35">
      <c r="B39" s="22" t="s">
        <v>64</v>
      </c>
      <c r="C39" s="21">
        <f>$C$18</f>
        <v>0</v>
      </c>
      <c r="D39" s="21">
        <f t="shared" ref="D39:I39" si="1">C39+1</f>
        <v>1</v>
      </c>
      <c r="E39" s="21">
        <f t="shared" si="1"/>
        <v>2</v>
      </c>
      <c r="F39" s="21">
        <f t="shared" si="1"/>
        <v>3</v>
      </c>
      <c r="G39" s="21">
        <f t="shared" si="1"/>
        <v>4</v>
      </c>
      <c r="H39" s="21">
        <f t="shared" si="1"/>
        <v>5</v>
      </c>
      <c r="I39" s="21">
        <f t="shared" si="1"/>
        <v>6</v>
      </c>
    </row>
    <row r="40" spans="2:11" ht="16" hidden="1" outlineLevel="1" x14ac:dyDescent="0.35">
      <c r="B40" s="23" t="s">
        <v>3</v>
      </c>
      <c r="C40" s="27"/>
      <c r="D40" s="28"/>
      <c r="E40" s="24" t="e">
        <f>ROUND($C$16*$C$20*($C$17/60)*0.5,-1)</f>
        <v>#VALUE!</v>
      </c>
      <c r="F40" s="24" t="e">
        <f>ROUND($C$16*$C$20*($C$17/60)*1.5,-1)</f>
        <v>#VALUE!</v>
      </c>
      <c r="G40" s="24" t="e">
        <f>ROUND($C$16*$C$20*($C$17/60)*2.5,-1)</f>
        <v>#VALUE!</v>
      </c>
      <c r="H40" s="24" t="e">
        <f>ROUND($C$16*$C$20*($C$17/60)*3,-1)</f>
        <v>#VALUE!</v>
      </c>
      <c r="I40" s="24" t="e">
        <f>H40</f>
        <v>#VALUE!</v>
      </c>
    </row>
    <row r="41" spans="2:11" ht="16" hidden="1" outlineLevel="1" x14ac:dyDescent="0.35">
      <c r="B41" s="23" t="s">
        <v>2</v>
      </c>
      <c r="C41" s="24" t="str">
        <f>IF($C$14="ja",$C$22*$C$15*0.5,"")</f>
        <v/>
      </c>
      <c r="D41" s="24" t="str">
        <f>IF($C$14="ja",$C$22*$C$15*1.5,"")</f>
        <v/>
      </c>
      <c r="E41" s="24" t="str">
        <f>IF($C$14="ja",$C$22*$C$15*2.5,"")</f>
        <v/>
      </c>
      <c r="F41" s="24" t="str">
        <f>IF($C$14="ja",$C$22*$C$15*3,"")</f>
        <v/>
      </c>
      <c r="G41" s="24" t="str">
        <f>F41</f>
        <v/>
      </c>
      <c r="H41" s="24" t="str">
        <f>G41</f>
        <v/>
      </c>
      <c r="I41" s="24" t="str">
        <f>H41</f>
        <v/>
      </c>
    </row>
    <row r="42" spans="2:11" ht="16" hidden="1" outlineLevel="1" x14ac:dyDescent="0.35">
      <c r="B42" s="25" t="s">
        <v>1</v>
      </c>
      <c r="C42" s="26">
        <f t="shared" ref="C42:I42" si="2">SUM(C40:C41)</f>
        <v>0</v>
      </c>
      <c r="D42" s="26">
        <f t="shared" si="2"/>
        <v>0</v>
      </c>
      <c r="E42" s="26" t="e">
        <f t="shared" si="2"/>
        <v>#VALUE!</v>
      </c>
      <c r="F42" s="26" t="e">
        <f t="shared" si="2"/>
        <v>#VALUE!</v>
      </c>
      <c r="G42" s="26" t="e">
        <f t="shared" si="2"/>
        <v>#VALUE!</v>
      </c>
      <c r="H42" s="26" t="e">
        <f t="shared" si="2"/>
        <v>#VALUE!</v>
      </c>
      <c r="I42" s="26" t="e">
        <f t="shared" si="2"/>
        <v>#VALUE!</v>
      </c>
    </row>
    <row r="43" spans="2:11" hidden="1" outlineLevel="1" x14ac:dyDescent="0.35">
      <c r="B43" t="s">
        <v>0</v>
      </c>
      <c r="C43" s="1">
        <f>C42</f>
        <v>0</v>
      </c>
      <c r="D43" s="1">
        <f t="shared" ref="D43:I43" si="3">D42-C42</f>
        <v>0</v>
      </c>
      <c r="E43" s="1" t="e">
        <f t="shared" si="3"/>
        <v>#VALUE!</v>
      </c>
      <c r="F43" s="1" t="e">
        <f t="shared" si="3"/>
        <v>#VALUE!</v>
      </c>
      <c r="G43" s="1" t="e">
        <f t="shared" si="3"/>
        <v>#VALUE!</v>
      </c>
      <c r="H43" s="1" t="e">
        <f t="shared" si="3"/>
        <v>#VALUE!</v>
      </c>
      <c r="I43" s="1" t="e">
        <f t="shared" si="3"/>
        <v>#VALUE!</v>
      </c>
    </row>
    <row r="44" spans="2:11" hidden="1" outlineLevel="1" x14ac:dyDescent="0.35"/>
    <row r="45" spans="2:11" hidden="1" outlineLevel="1" x14ac:dyDescent="0.35">
      <c r="B45" s="22" t="s">
        <v>66</v>
      </c>
      <c r="C45" s="21">
        <f>$C$18</f>
        <v>0</v>
      </c>
      <c r="D45" s="21">
        <f t="shared" ref="D45:K45" si="4">C45+1</f>
        <v>1</v>
      </c>
      <c r="E45" s="21">
        <f t="shared" si="4"/>
        <v>2</v>
      </c>
      <c r="F45" s="21">
        <f t="shared" si="4"/>
        <v>3</v>
      </c>
      <c r="G45" s="21">
        <f t="shared" si="4"/>
        <v>4</v>
      </c>
      <c r="H45" s="21">
        <f t="shared" si="4"/>
        <v>5</v>
      </c>
      <c r="I45" s="21">
        <f t="shared" si="4"/>
        <v>6</v>
      </c>
      <c r="J45" s="21">
        <f t="shared" si="4"/>
        <v>7</v>
      </c>
      <c r="K45" s="21">
        <f t="shared" si="4"/>
        <v>8</v>
      </c>
    </row>
    <row r="46" spans="2:11" ht="16" hidden="1" outlineLevel="1" x14ac:dyDescent="0.35">
      <c r="B46" s="23" t="s">
        <v>3</v>
      </c>
      <c r="C46" s="27"/>
      <c r="D46" s="28"/>
      <c r="E46" s="24" t="e">
        <f>ROUND($C$16*$C$20*($C$17/60)*0.5,-1)</f>
        <v>#VALUE!</v>
      </c>
      <c r="F46" s="24" t="e">
        <f>ROUND($C$16*$C$20*($C$17/60)*1.5,-1)</f>
        <v>#VALUE!</v>
      </c>
      <c r="G46" s="24" t="e">
        <f>ROUND($C$16*$C$20*($C$17/60)*2.5,-1)</f>
        <v>#VALUE!</v>
      </c>
      <c r="H46" s="24" t="e">
        <f>ROUND($C$16*$C$20*($C$17/60)*3.5,-1)</f>
        <v>#VALUE!</v>
      </c>
      <c r="I46" s="24" t="e">
        <f>ROUND($C$16*$C$20*($C$17/60)*4.5,-1)</f>
        <v>#VALUE!</v>
      </c>
      <c r="J46" s="24" t="e">
        <f>ROUND($C$16*$C$20*($C$17/60)*5,-1)</f>
        <v>#VALUE!</v>
      </c>
      <c r="K46" s="24" t="e">
        <f>J46</f>
        <v>#VALUE!</v>
      </c>
    </row>
    <row r="47" spans="2:11" ht="16" hidden="1" outlineLevel="1" x14ac:dyDescent="0.35">
      <c r="B47" s="23" t="s">
        <v>2</v>
      </c>
      <c r="C47" s="24" t="str">
        <f>IF($C$14="ja",$C$22*$C$15*0.5,"")</f>
        <v/>
      </c>
      <c r="D47" s="24" t="str">
        <f>IF($C$14="ja",$C$22*$C$15*1.5,"")</f>
        <v/>
      </c>
      <c r="E47" s="24" t="str">
        <f>IF($C$14="ja",$C$22*$C$15*2.5,"")</f>
        <v/>
      </c>
      <c r="F47" s="24" t="str">
        <f>IF($C$14="ja",$C$22*$C$15*3.5,"")</f>
        <v/>
      </c>
      <c r="G47" s="24" t="str">
        <f>IF($C$14="ja",$C$22*$C$15*4.5,"")</f>
        <v/>
      </c>
      <c r="H47" s="24" t="str">
        <f>IF($C$14="ja",$C$22*$C$15*5,"")</f>
        <v/>
      </c>
      <c r="I47" s="24" t="str">
        <f>H47</f>
        <v/>
      </c>
      <c r="J47" s="24" t="str">
        <f>I47</f>
        <v/>
      </c>
      <c r="K47" s="24" t="str">
        <f>J47</f>
        <v/>
      </c>
    </row>
    <row r="48" spans="2:11" ht="16" hidden="1" outlineLevel="1" x14ac:dyDescent="0.35">
      <c r="B48" s="25" t="s">
        <v>1</v>
      </c>
      <c r="C48" s="26">
        <f t="shared" ref="C48:K48" si="5">SUM(C46:C47)</f>
        <v>0</v>
      </c>
      <c r="D48" s="26">
        <f t="shared" si="5"/>
        <v>0</v>
      </c>
      <c r="E48" s="26" t="e">
        <f t="shared" si="5"/>
        <v>#VALUE!</v>
      </c>
      <c r="F48" s="26" t="e">
        <f t="shared" si="5"/>
        <v>#VALUE!</v>
      </c>
      <c r="G48" s="26" t="e">
        <f t="shared" si="5"/>
        <v>#VALUE!</v>
      </c>
      <c r="H48" s="26" t="e">
        <f t="shared" si="5"/>
        <v>#VALUE!</v>
      </c>
      <c r="I48" s="26" t="e">
        <f t="shared" si="5"/>
        <v>#VALUE!</v>
      </c>
      <c r="J48" s="26" t="e">
        <f t="shared" si="5"/>
        <v>#VALUE!</v>
      </c>
      <c r="K48" s="26" t="e">
        <f t="shared" si="5"/>
        <v>#VALUE!</v>
      </c>
    </row>
    <row r="49" spans="2:12" hidden="1" outlineLevel="1" x14ac:dyDescent="0.35">
      <c r="B49" t="s">
        <v>0</v>
      </c>
      <c r="C49" s="1">
        <f>C48</f>
        <v>0</v>
      </c>
      <c r="D49" s="1">
        <f t="shared" ref="D49:K49" si="6">D48-C48</f>
        <v>0</v>
      </c>
      <c r="E49" s="1" t="e">
        <f t="shared" si="6"/>
        <v>#VALUE!</v>
      </c>
      <c r="F49" s="1" t="e">
        <f t="shared" si="6"/>
        <v>#VALUE!</v>
      </c>
      <c r="G49" s="1" t="e">
        <f t="shared" si="6"/>
        <v>#VALUE!</v>
      </c>
      <c r="H49" s="1" t="e">
        <f t="shared" si="6"/>
        <v>#VALUE!</v>
      </c>
      <c r="I49" s="1" t="e">
        <f t="shared" si="6"/>
        <v>#VALUE!</v>
      </c>
      <c r="J49" s="1" t="e">
        <f t="shared" si="6"/>
        <v>#VALUE!</v>
      </c>
      <c r="K49" s="1" t="e">
        <f t="shared" si="6"/>
        <v>#VALUE!</v>
      </c>
    </row>
    <row r="50" spans="2:12" hidden="1" outlineLevel="1" x14ac:dyDescent="0.35"/>
    <row r="51" spans="2:12" hidden="1" outlineLevel="1" x14ac:dyDescent="0.35">
      <c r="B51" s="22" t="s">
        <v>62</v>
      </c>
      <c r="C51" s="21">
        <f>$C$18</f>
        <v>0</v>
      </c>
      <c r="D51" s="21">
        <f t="shared" ref="D51" si="7">C51+1</f>
        <v>1</v>
      </c>
      <c r="E51" s="21">
        <f t="shared" ref="E51" si="8">D51+1</f>
        <v>2</v>
      </c>
      <c r="F51" s="21">
        <f t="shared" ref="F51" si="9">E51+1</f>
        <v>3</v>
      </c>
      <c r="G51" s="21">
        <f t="shared" ref="G51" si="10">F51+1</f>
        <v>4</v>
      </c>
      <c r="H51" s="21">
        <f t="shared" ref="H51" si="11">G51+1</f>
        <v>5</v>
      </c>
      <c r="I51" s="21">
        <f t="shared" ref="I51" si="12">H51+1</f>
        <v>6</v>
      </c>
      <c r="J51" s="21">
        <f t="shared" ref="J51" si="13">I51+1</f>
        <v>7</v>
      </c>
      <c r="K51" s="21">
        <f t="shared" ref="K51" si="14">J51+1</f>
        <v>8</v>
      </c>
    </row>
    <row r="52" spans="2:12" ht="16" hidden="1" outlineLevel="1" x14ac:dyDescent="0.35">
      <c r="B52" s="23" t="s">
        <v>63</v>
      </c>
      <c r="C52" s="27"/>
      <c r="D52" s="28"/>
      <c r="E52" s="24" t="e">
        <f>E30</f>
        <v>#VALUE!</v>
      </c>
      <c r="F52" s="24" t="e">
        <f>F30</f>
        <v>#VALUE!</v>
      </c>
      <c r="G52" s="50" t="e">
        <f>G30</f>
        <v>#VALUE!</v>
      </c>
      <c r="H52" s="50" t="e">
        <f>G52</f>
        <v>#VALUE!</v>
      </c>
      <c r="I52" s="50" t="e">
        <f t="shared" ref="I52:K54" si="15">H52</f>
        <v>#VALUE!</v>
      </c>
      <c r="J52" s="50" t="e">
        <f t="shared" si="15"/>
        <v>#VALUE!</v>
      </c>
      <c r="K52" s="50" t="e">
        <f t="shared" si="15"/>
        <v>#VALUE!</v>
      </c>
      <c r="L52">
        <v>1</v>
      </c>
    </row>
    <row r="53" spans="2:12" ht="16" hidden="1" outlineLevel="1" x14ac:dyDescent="0.35">
      <c r="B53" s="23" t="s">
        <v>67</v>
      </c>
      <c r="C53" s="27"/>
      <c r="D53" s="28"/>
      <c r="E53" s="24" t="e">
        <f>E36</f>
        <v>#VALUE!</v>
      </c>
      <c r="F53" s="24" t="e">
        <f>F36</f>
        <v>#VALUE!</v>
      </c>
      <c r="G53" s="24" t="e">
        <f>G36</f>
        <v>#VALUE!</v>
      </c>
      <c r="H53" s="50" t="e">
        <f>H36</f>
        <v>#VALUE!</v>
      </c>
      <c r="I53" s="50" t="e">
        <f t="shared" si="15"/>
        <v>#VALUE!</v>
      </c>
      <c r="J53" s="50" t="e">
        <f t="shared" si="15"/>
        <v>#VALUE!</v>
      </c>
      <c r="K53" s="50" t="e">
        <f t="shared" si="15"/>
        <v>#VALUE!</v>
      </c>
      <c r="L53">
        <v>2</v>
      </c>
    </row>
    <row r="54" spans="2:12" ht="16" hidden="1" outlineLevel="1" x14ac:dyDescent="0.35">
      <c r="B54" s="23" t="s">
        <v>69</v>
      </c>
      <c r="C54" s="27"/>
      <c r="D54" s="28"/>
      <c r="E54" s="24" t="e">
        <f>E42</f>
        <v>#VALUE!</v>
      </c>
      <c r="F54" s="24" t="e">
        <f>F42</f>
        <v>#VALUE!</v>
      </c>
      <c r="G54" s="24" t="e">
        <f>G42</f>
        <v>#VALUE!</v>
      </c>
      <c r="H54" s="24" t="e">
        <f>H42</f>
        <v>#VALUE!</v>
      </c>
      <c r="I54" s="50" t="e">
        <f>I42</f>
        <v>#VALUE!</v>
      </c>
      <c r="J54" s="50" t="e">
        <f t="shared" si="15"/>
        <v>#VALUE!</v>
      </c>
      <c r="K54" s="50" t="e">
        <f t="shared" si="15"/>
        <v>#VALUE!</v>
      </c>
      <c r="L54">
        <v>3</v>
      </c>
    </row>
    <row r="55" spans="2:12" ht="16" hidden="1" outlineLevel="1" x14ac:dyDescent="0.35">
      <c r="B55" s="23" t="s">
        <v>68</v>
      </c>
      <c r="C55" s="27"/>
      <c r="D55" s="28"/>
      <c r="E55" s="24" t="e">
        <f t="shared" ref="E55:K55" si="16">E48</f>
        <v>#VALUE!</v>
      </c>
      <c r="F55" s="24" t="e">
        <f t="shared" si="16"/>
        <v>#VALUE!</v>
      </c>
      <c r="G55" s="24" t="e">
        <f t="shared" si="16"/>
        <v>#VALUE!</v>
      </c>
      <c r="H55" s="24" t="e">
        <f t="shared" si="16"/>
        <v>#VALUE!</v>
      </c>
      <c r="I55" s="24" t="e">
        <f t="shared" si="16"/>
        <v>#VALUE!</v>
      </c>
      <c r="J55" s="24" t="e">
        <f t="shared" si="16"/>
        <v>#VALUE!</v>
      </c>
      <c r="K55" s="50" t="e">
        <f t="shared" si="16"/>
        <v>#VALUE!</v>
      </c>
      <c r="L55">
        <v>5</v>
      </c>
    </row>
    <row r="56" spans="2:12" collapsed="1" x14ac:dyDescent="0.35"/>
    <row r="58" spans="2:12" x14ac:dyDescent="0.35">
      <c r="B58" s="2" t="s">
        <v>121</v>
      </c>
    </row>
    <row r="59" spans="2:12" x14ac:dyDescent="0.35">
      <c r="B59" s="22" t="s">
        <v>62</v>
      </c>
      <c r="C59" s="21">
        <f>$C$18</f>
        <v>0</v>
      </c>
      <c r="D59" s="21">
        <f t="shared" ref="D59" si="17">C59+1</f>
        <v>1</v>
      </c>
      <c r="E59" s="21">
        <f t="shared" ref="E59" si="18">D59+1</f>
        <v>2</v>
      </c>
      <c r="F59" s="21">
        <f t="shared" ref="F59" si="19">E59+1</f>
        <v>3</v>
      </c>
      <c r="G59" s="21">
        <f t="shared" ref="G59" si="20">F59+1</f>
        <v>4</v>
      </c>
      <c r="H59" s="21">
        <f t="shared" ref="H59" si="21">G59+1</f>
        <v>5</v>
      </c>
      <c r="I59" s="21">
        <f t="shared" ref="I59" si="22">H59+1</f>
        <v>6</v>
      </c>
      <c r="J59" s="21">
        <f t="shared" ref="J59" si="23">I59+1</f>
        <v>7</v>
      </c>
      <c r="K59" s="21">
        <f t="shared" ref="K59" si="24">J59+1</f>
        <v>8</v>
      </c>
    </row>
    <row r="60" spans="2:12" ht="16" x14ac:dyDescent="0.35">
      <c r="B60" s="23">
        <f>C10</f>
        <v>0</v>
      </c>
      <c r="C60" s="27"/>
      <c r="D60" s="28"/>
      <c r="E60" s="24" t="e">
        <f>VLOOKUP($B$60,$B$52:$K$55,4,FALSE)</f>
        <v>#N/A</v>
      </c>
      <c r="F60" s="24" t="e">
        <f>VLOOKUP($B$60,$B$52:$K$55,5,FALSE)</f>
        <v>#N/A</v>
      </c>
      <c r="G60" s="24" t="e">
        <f>VLOOKUP($B$60,$B$52:$K$55,6,FALSE)</f>
        <v>#N/A</v>
      </c>
      <c r="H60" s="24" t="e">
        <f>VLOOKUP($B$60,$B$52:$K$55,7,FALSE)</f>
        <v>#N/A</v>
      </c>
      <c r="I60" s="24" t="e">
        <f>VLOOKUP($B$60,$B$52:$K$55,8,FALSE)</f>
        <v>#N/A</v>
      </c>
      <c r="J60" s="24" t="e">
        <f>VLOOKUP($B$60,$B$52:$K$55,9,FALSE)</f>
        <v>#N/A</v>
      </c>
      <c r="K60" s="24" t="e">
        <f>VLOOKUP($B$60,$B$52:$K$55,10,FALSE)</f>
        <v>#N/A</v>
      </c>
    </row>
    <row r="61" spans="2:12" ht="16" x14ac:dyDescent="0.35">
      <c r="B61" s="64" t="s">
        <v>106</v>
      </c>
      <c r="C61" s="27"/>
      <c r="D61" s="28"/>
      <c r="E61" s="65" t="e">
        <f>E60/$K$60</f>
        <v>#N/A</v>
      </c>
      <c r="F61" s="65" t="e">
        <f t="shared" ref="F61:K61" si="25">F60/$K$60</f>
        <v>#N/A</v>
      </c>
      <c r="G61" s="65" t="e">
        <f t="shared" si="25"/>
        <v>#N/A</v>
      </c>
      <c r="H61" s="65" t="e">
        <f t="shared" si="25"/>
        <v>#N/A</v>
      </c>
      <c r="I61" s="65" t="e">
        <f t="shared" si="25"/>
        <v>#N/A</v>
      </c>
      <c r="J61" s="65" t="e">
        <f t="shared" si="25"/>
        <v>#N/A</v>
      </c>
      <c r="K61" s="65" t="e">
        <f t="shared" si="25"/>
        <v>#N/A</v>
      </c>
    </row>
  </sheetData>
  <mergeCells count="3">
    <mergeCell ref="C3:D3"/>
    <mergeCell ref="C9:F9"/>
    <mergeCell ref="C10:F10"/>
  </mergeCells>
  <dataValidations count="1">
    <dataValidation type="list" allowBlank="1" showInputMessage="1" showErrorMessage="1" sqref="C10:F10" xr:uid="{62F00691-8449-4593-BEA2-1976062EB553}">
      <formula1>$B$52:$B$55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7F94-103C-4558-938C-9F25B347027F}">
  <dimension ref="A1:K61"/>
  <sheetViews>
    <sheetView showGridLines="0" zoomScaleNormal="100" workbookViewId="0">
      <pane ySplit="1" topLeftCell="A2" activePane="bottomLeft" state="frozen"/>
      <selection pane="bottomLeft" activeCell="C40" sqref="C40"/>
    </sheetView>
  </sheetViews>
  <sheetFormatPr baseColWidth="10" defaultColWidth="11.453125" defaultRowHeight="14.5" outlineLevelRow="1" x14ac:dyDescent="0.35"/>
  <cols>
    <col min="1" max="1" width="19.81640625" customWidth="1"/>
    <col min="2" max="2" width="36" customWidth="1"/>
    <col min="3" max="3" width="13.1796875" customWidth="1"/>
    <col min="4" max="4" width="12.26953125" customWidth="1"/>
    <col min="5" max="5" width="10" customWidth="1"/>
    <col min="6" max="6" width="10.1796875" customWidth="1"/>
    <col min="7" max="10" width="9.81640625" customWidth="1"/>
    <col min="11" max="11" width="10.453125" customWidth="1"/>
    <col min="12" max="12" width="12.81640625" customWidth="1"/>
    <col min="13" max="13" width="11.1796875" customWidth="1"/>
    <col min="14" max="14" width="11.81640625" customWidth="1"/>
    <col min="15" max="15" width="17.1796875" customWidth="1"/>
  </cols>
  <sheetData>
    <row r="1" spans="1:10" ht="18.5" x14ac:dyDescent="0.4">
      <c r="A1" s="70">
        <v>46086</v>
      </c>
      <c r="B1" s="7" t="s">
        <v>21</v>
      </c>
    </row>
    <row r="2" spans="1:10" ht="18" customHeight="1" x14ac:dyDescent="0.35">
      <c r="B2" t="s">
        <v>41</v>
      </c>
    </row>
    <row r="3" spans="1:10" ht="11.25" customHeight="1" x14ac:dyDescent="0.35"/>
    <row r="4" spans="1:10" ht="18.5" x14ac:dyDescent="0.45">
      <c r="B4" s="6"/>
      <c r="C4" s="61" t="s">
        <v>13</v>
      </c>
      <c r="D4" s="6"/>
      <c r="E4" s="6"/>
      <c r="F4" s="6"/>
      <c r="G4" s="59"/>
      <c r="H4" s="6"/>
      <c r="I4" s="6"/>
      <c r="J4" s="6"/>
    </row>
    <row r="5" spans="1:10" x14ac:dyDescent="0.35">
      <c r="G5" s="8"/>
    </row>
    <row r="6" spans="1:10" ht="19" customHeight="1" x14ac:dyDescent="0.35">
      <c r="B6" s="62" t="s">
        <v>12</v>
      </c>
      <c r="C6" s="108">
        <f>INNTEKTER!C9</f>
        <v>0</v>
      </c>
      <c r="D6" s="108"/>
      <c r="E6" s="108"/>
      <c r="F6" s="108"/>
      <c r="G6" t="s">
        <v>99</v>
      </c>
    </row>
    <row r="7" spans="1:10" ht="13" customHeight="1" x14ac:dyDescent="0.35">
      <c r="B7" s="63" t="s">
        <v>102</v>
      </c>
      <c r="C7" s="24" t="e">
        <f>VLOOKUP(INNTEKTER!$C$10,INNTEKTER!$B$52:$L$55,11,FALSE)</f>
        <v>#N/A</v>
      </c>
      <c r="D7" s="104"/>
      <c r="E7" s="104"/>
      <c r="F7" s="104"/>
      <c r="G7" t="s">
        <v>99</v>
      </c>
    </row>
    <row r="8" spans="1:10" x14ac:dyDescent="0.35">
      <c r="B8" s="63" t="s">
        <v>117</v>
      </c>
      <c r="C8" s="82">
        <f>INNTEKTER!C16/60*INNTEKTER!C17</f>
        <v>0</v>
      </c>
      <c r="D8" s="104"/>
      <c r="E8" s="104"/>
      <c r="F8" s="104"/>
      <c r="G8" t="s">
        <v>99</v>
      </c>
    </row>
    <row r="9" spans="1:10" x14ac:dyDescent="0.35">
      <c r="B9" s="63" t="s">
        <v>9</v>
      </c>
      <c r="C9" s="58">
        <f>INNTEKTER!$C$18</f>
        <v>0</v>
      </c>
      <c r="D9" s="104"/>
      <c r="E9" s="104"/>
      <c r="F9" s="104"/>
      <c r="G9" t="s">
        <v>99</v>
      </c>
    </row>
    <row r="11" spans="1:10" outlineLevel="1" x14ac:dyDescent="0.35">
      <c r="B11" s="2" t="s">
        <v>31</v>
      </c>
      <c r="E11" t="s">
        <v>24</v>
      </c>
    </row>
    <row r="12" spans="1:10" ht="30" customHeight="1" outlineLevel="1" x14ac:dyDescent="0.35">
      <c r="B12" s="43" t="s">
        <v>22</v>
      </c>
      <c r="C12" s="47" t="s">
        <v>48</v>
      </c>
      <c r="D12" s="43" t="s">
        <v>23</v>
      </c>
      <c r="E12" s="113" t="s">
        <v>54</v>
      </c>
      <c r="F12" s="113"/>
      <c r="G12" s="113"/>
      <c r="H12" s="113"/>
      <c r="I12" s="113"/>
      <c r="J12" s="113"/>
    </row>
    <row r="13" spans="1:10" ht="16" outlineLevel="1" x14ac:dyDescent="0.4">
      <c r="B13" s="44" t="s">
        <v>25</v>
      </c>
      <c r="C13" s="45">
        <v>983000</v>
      </c>
      <c r="D13" s="45">
        <f>ROUND(C13/1628,-0.1)</f>
        <v>604</v>
      </c>
      <c r="E13" s="114" t="s">
        <v>55</v>
      </c>
      <c r="F13" s="114"/>
      <c r="G13" s="114"/>
      <c r="H13" s="114"/>
      <c r="I13" s="114"/>
      <c r="J13" s="114"/>
    </row>
    <row r="14" spans="1:10" ht="16" outlineLevel="1" x14ac:dyDescent="0.4">
      <c r="B14" s="44" t="s">
        <v>26</v>
      </c>
      <c r="C14" s="45">
        <v>1097000</v>
      </c>
      <c r="D14" s="45">
        <f t="shared" ref="D14:D21" si="0">ROUND(C14/1628,-0.1)</f>
        <v>674</v>
      </c>
      <c r="E14" s="114" t="s">
        <v>55</v>
      </c>
      <c r="F14" s="114"/>
      <c r="G14" s="114"/>
      <c r="H14" s="114"/>
      <c r="I14" s="114"/>
      <c r="J14" s="114"/>
    </row>
    <row r="15" spans="1:10" ht="16" outlineLevel="1" x14ac:dyDescent="0.4">
      <c r="B15" s="44" t="s">
        <v>27</v>
      </c>
      <c r="C15" s="45">
        <v>1307000</v>
      </c>
      <c r="D15" s="45">
        <f t="shared" si="0"/>
        <v>803</v>
      </c>
      <c r="E15" s="114" t="s">
        <v>55</v>
      </c>
      <c r="F15" s="114"/>
      <c r="G15" s="114"/>
      <c r="H15" s="114"/>
      <c r="I15" s="114"/>
      <c r="J15" s="114"/>
    </row>
    <row r="16" spans="1:10" ht="16" outlineLevel="1" x14ac:dyDescent="0.4">
      <c r="B16" s="44" t="s">
        <v>28</v>
      </c>
      <c r="C16" s="45">
        <v>771000</v>
      </c>
      <c r="D16" s="45">
        <f t="shared" si="0"/>
        <v>474</v>
      </c>
      <c r="E16" s="114" t="s">
        <v>55</v>
      </c>
      <c r="F16" s="114"/>
      <c r="G16" s="114"/>
      <c r="H16" s="114"/>
      <c r="I16" s="114"/>
      <c r="J16" s="114"/>
    </row>
    <row r="17" spans="2:10" ht="16" outlineLevel="1" x14ac:dyDescent="0.4">
      <c r="B17" s="44" t="s">
        <v>29</v>
      </c>
      <c r="C17" s="45">
        <v>954000</v>
      </c>
      <c r="D17" s="45">
        <f t="shared" si="0"/>
        <v>586</v>
      </c>
      <c r="E17" s="114" t="s">
        <v>55</v>
      </c>
      <c r="F17" s="114"/>
      <c r="G17" s="114"/>
      <c r="H17" s="114"/>
      <c r="I17" s="114"/>
      <c r="J17" s="114"/>
    </row>
    <row r="18" spans="2:10" ht="16" outlineLevel="1" x14ac:dyDescent="0.4">
      <c r="B18" s="44" t="s">
        <v>30</v>
      </c>
      <c r="C18" s="45">
        <v>1022000</v>
      </c>
      <c r="D18" s="45">
        <f t="shared" si="0"/>
        <v>628</v>
      </c>
      <c r="E18" s="114" t="s">
        <v>56</v>
      </c>
      <c r="F18" s="114"/>
      <c r="G18" s="114"/>
      <c r="H18" s="114"/>
      <c r="I18" s="114"/>
      <c r="J18" s="114"/>
    </row>
    <row r="19" spans="2:10" ht="16" outlineLevel="1" x14ac:dyDescent="0.4">
      <c r="B19" s="44" t="s">
        <v>33</v>
      </c>
      <c r="C19" s="45">
        <f>C14</f>
        <v>1097000</v>
      </c>
      <c r="D19" s="45">
        <f t="shared" si="0"/>
        <v>674</v>
      </c>
      <c r="E19" s="114" t="s">
        <v>159</v>
      </c>
      <c r="F19" s="114"/>
      <c r="G19" s="114"/>
      <c r="H19" s="114"/>
      <c r="I19" s="114"/>
      <c r="J19" s="114"/>
    </row>
    <row r="20" spans="2:10" ht="16" outlineLevel="1" x14ac:dyDescent="0.4">
      <c r="B20" s="44" t="s">
        <v>34</v>
      </c>
      <c r="C20" s="45">
        <f>C18*0.9</f>
        <v>919800</v>
      </c>
      <c r="D20" s="45">
        <f t="shared" si="0"/>
        <v>565</v>
      </c>
      <c r="E20" s="114" t="s">
        <v>160</v>
      </c>
      <c r="F20" s="114"/>
      <c r="G20" s="114"/>
      <c r="H20" s="114"/>
      <c r="I20" s="114"/>
      <c r="J20" s="114"/>
    </row>
    <row r="21" spans="2:10" ht="16" outlineLevel="1" x14ac:dyDescent="0.4">
      <c r="B21" s="44" t="s">
        <v>32</v>
      </c>
      <c r="C21" s="45">
        <f>C18*0.55</f>
        <v>562100</v>
      </c>
      <c r="D21" s="45">
        <f t="shared" si="0"/>
        <v>345</v>
      </c>
      <c r="E21" s="114" t="s">
        <v>161</v>
      </c>
      <c r="F21" s="114"/>
      <c r="G21" s="114"/>
      <c r="H21" s="114"/>
      <c r="I21" s="114"/>
      <c r="J21" s="114"/>
    </row>
    <row r="22" spans="2:10" outlineLevel="1" x14ac:dyDescent="0.35"/>
    <row r="23" spans="2:10" ht="16" x14ac:dyDescent="0.4">
      <c r="B23" s="11" t="s">
        <v>38</v>
      </c>
    </row>
    <row r="24" spans="2:10" ht="16" x14ac:dyDescent="0.4">
      <c r="B24" s="11" t="s">
        <v>57</v>
      </c>
    </row>
    <row r="25" spans="2:10" x14ac:dyDescent="0.35">
      <c r="B25" s="29" t="s">
        <v>22</v>
      </c>
      <c r="C25" s="29" t="s">
        <v>35</v>
      </c>
      <c r="D25" s="29" t="s">
        <v>36</v>
      </c>
      <c r="E25" s="108" t="s">
        <v>54</v>
      </c>
      <c r="F25" s="108"/>
      <c r="G25" s="108"/>
      <c r="H25" s="108"/>
      <c r="I25" s="108"/>
      <c r="J25" s="108"/>
    </row>
    <row r="26" spans="2:10" ht="15" customHeight="1" x14ac:dyDescent="0.4">
      <c r="B26" s="30" t="s">
        <v>25</v>
      </c>
      <c r="C26" s="32"/>
      <c r="D26" s="9">
        <f>C26*C13</f>
        <v>0</v>
      </c>
      <c r="E26" s="105"/>
      <c r="F26" s="105"/>
      <c r="G26" s="105"/>
      <c r="H26" s="105"/>
      <c r="I26" s="105"/>
      <c r="J26" s="105"/>
    </row>
    <row r="27" spans="2:10" ht="16" x14ac:dyDescent="0.4">
      <c r="B27" s="30" t="s">
        <v>26</v>
      </c>
      <c r="C27" s="32"/>
      <c r="D27" s="9">
        <f>C27*C14</f>
        <v>0</v>
      </c>
      <c r="E27" s="105"/>
      <c r="F27" s="105"/>
      <c r="G27" s="105"/>
      <c r="H27" s="105"/>
      <c r="I27" s="105"/>
      <c r="J27" s="105"/>
    </row>
    <row r="28" spans="2:10" ht="16" x14ac:dyDescent="0.4">
      <c r="B28" s="30" t="s">
        <v>27</v>
      </c>
      <c r="C28" s="32"/>
      <c r="D28" s="9">
        <f>C28*C15</f>
        <v>0</v>
      </c>
      <c r="E28" s="105"/>
      <c r="F28" s="105"/>
      <c r="G28" s="105"/>
      <c r="H28" s="105"/>
      <c r="I28" s="105"/>
      <c r="J28" s="105"/>
    </row>
    <row r="29" spans="2:10" ht="16" x14ac:dyDescent="0.4">
      <c r="B29" s="30" t="s">
        <v>28</v>
      </c>
      <c r="C29" s="32"/>
      <c r="D29" s="9">
        <f>C29*C16</f>
        <v>0</v>
      </c>
      <c r="E29" s="105"/>
      <c r="F29" s="105"/>
      <c r="G29" s="105"/>
      <c r="H29" s="105"/>
      <c r="I29" s="105"/>
      <c r="J29" s="105"/>
    </row>
    <row r="30" spans="2:10" ht="16" x14ac:dyDescent="0.4">
      <c r="B30" s="30" t="s">
        <v>29</v>
      </c>
      <c r="C30" s="32"/>
      <c r="D30" s="9">
        <f>C30*C17</f>
        <v>0</v>
      </c>
      <c r="E30" s="105"/>
      <c r="F30" s="105"/>
      <c r="G30" s="105"/>
      <c r="H30" s="105"/>
      <c r="I30" s="105"/>
      <c r="J30" s="105"/>
    </row>
    <row r="31" spans="2:10" ht="16" x14ac:dyDescent="0.4">
      <c r="B31" s="30" t="s">
        <v>33</v>
      </c>
      <c r="C31" s="32"/>
      <c r="D31" s="9">
        <f>C31*C19</f>
        <v>0</v>
      </c>
      <c r="E31" s="105"/>
      <c r="F31" s="105"/>
      <c r="G31" s="105"/>
      <c r="H31" s="105"/>
      <c r="I31" s="105"/>
      <c r="J31" s="105"/>
    </row>
    <row r="32" spans="2:10" ht="16" x14ac:dyDescent="0.4">
      <c r="B32" s="30" t="s">
        <v>34</v>
      </c>
      <c r="C32" s="32"/>
      <c r="D32" s="9">
        <f>C32*C20</f>
        <v>0</v>
      </c>
      <c r="E32" s="105"/>
      <c r="F32" s="105"/>
      <c r="G32" s="105"/>
      <c r="H32" s="105"/>
      <c r="I32" s="105"/>
      <c r="J32" s="105"/>
    </row>
    <row r="33" spans="1:10" ht="16" x14ac:dyDescent="0.4">
      <c r="B33" s="30" t="s">
        <v>32</v>
      </c>
      <c r="C33" s="32"/>
      <c r="D33" s="9">
        <f>C33*C21</f>
        <v>0</v>
      </c>
      <c r="E33" s="105"/>
      <c r="F33" s="105"/>
      <c r="G33" s="105"/>
      <c r="H33" s="105"/>
      <c r="I33" s="105"/>
      <c r="J33" s="105"/>
    </row>
    <row r="34" spans="1:10" ht="16" x14ac:dyDescent="0.4">
      <c r="B34" s="31" t="s">
        <v>37</v>
      </c>
      <c r="C34" s="49">
        <f>SUM(C26:C33)</f>
        <v>0</v>
      </c>
      <c r="D34" s="13">
        <f>SUM(D26:D33)</f>
        <v>0</v>
      </c>
      <c r="E34" s="105" t="s">
        <v>103</v>
      </c>
      <c r="F34" s="105"/>
      <c r="G34" s="105"/>
      <c r="H34" s="105"/>
      <c r="I34" s="105"/>
      <c r="J34" s="105"/>
    </row>
    <row r="35" spans="1:10" ht="16" x14ac:dyDescent="0.4">
      <c r="A35" s="14"/>
      <c r="B35" s="55" t="s">
        <v>95</v>
      </c>
      <c r="C35" s="56">
        <f>SUM(C26:C30)</f>
        <v>0</v>
      </c>
      <c r="D35" s="57">
        <f>C35*C23</f>
        <v>0</v>
      </c>
      <c r="E35" s="115"/>
      <c r="F35" s="115"/>
      <c r="G35" s="115"/>
      <c r="H35" s="115"/>
      <c r="I35" s="115"/>
      <c r="J35" s="115"/>
    </row>
    <row r="36" spans="1:10" ht="16" x14ac:dyDescent="0.4">
      <c r="A36" s="14"/>
      <c r="B36" s="10"/>
      <c r="C36" s="14"/>
      <c r="D36" s="15"/>
    </row>
    <row r="37" spans="1:10" ht="16" x14ac:dyDescent="0.4">
      <c r="B37" s="11" t="s">
        <v>39</v>
      </c>
    </row>
    <row r="38" spans="1:10" ht="16" x14ac:dyDescent="0.4">
      <c r="B38" s="11" t="s">
        <v>57</v>
      </c>
    </row>
    <row r="39" spans="1:10" x14ac:dyDescent="0.35">
      <c r="B39" s="29" t="s">
        <v>22</v>
      </c>
      <c r="C39" s="29" t="s">
        <v>35</v>
      </c>
      <c r="D39" s="29" t="s">
        <v>36</v>
      </c>
      <c r="E39" s="108" t="s">
        <v>54</v>
      </c>
      <c r="F39" s="108"/>
      <c r="G39" s="108"/>
      <c r="H39" s="108"/>
      <c r="I39" s="108"/>
      <c r="J39" s="108"/>
    </row>
    <row r="40" spans="1:10" ht="16" x14ac:dyDescent="0.4">
      <c r="B40" s="30" t="s">
        <v>30</v>
      </c>
      <c r="C40" s="32"/>
      <c r="D40" s="9">
        <f>C40*C18</f>
        <v>0</v>
      </c>
      <c r="E40" s="105"/>
      <c r="F40" s="105"/>
      <c r="G40" s="105"/>
      <c r="H40" s="105"/>
      <c r="I40" s="105"/>
      <c r="J40" s="105"/>
    </row>
    <row r="41" spans="1:10" ht="16" x14ac:dyDescent="0.4">
      <c r="B41" s="16"/>
      <c r="C41" s="32"/>
      <c r="D41" s="12"/>
      <c r="E41" s="105"/>
      <c r="F41" s="105"/>
      <c r="G41" s="105"/>
      <c r="H41" s="105"/>
      <c r="I41" s="105"/>
      <c r="J41" s="105"/>
    </row>
    <row r="42" spans="1:10" ht="16" x14ac:dyDescent="0.4">
      <c r="B42" s="16"/>
      <c r="C42" s="32"/>
      <c r="D42" s="12"/>
      <c r="E42" s="105"/>
      <c r="F42" s="105"/>
      <c r="G42" s="105"/>
      <c r="H42" s="105"/>
      <c r="I42" s="105"/>
      <c r="J42" s="105"/>
    </row>
    <row r="43" spans="1:10" ht="16" x14ac:dyDescent="0.4">
      <c r="B43" s="31" t="s">
        <v>40</v>
      </c>
      <c r="C43" s="49">
        <f>SUM(C40:C42)</f>
        <v>0</v>
      </c>
      <c r="D43" s="13">
        <f>SUM(D40:D42)</f>
        <v>0</v>
      </c>
      <c r="E43" s="105"/>
      <c r="F43" s="105"/>
      <c r="G43" s="105"/>
      <c r="H43" s="105"/>
      <c r="I43" s="105"/>
      <c r="J43" s="105"/>
    </row>
    <row r="45" spans="1:10" ht="16" x14ac:dyDescent="0.4">
      <c r="B45" s="11" t="s">
        <v>42</v>
      </c>
    </row>
    <row r="46" spans="1:10" ht="16" x14ac:dyDescent="0.4">
      <c r="B46" s="11" t="s">
        <v>58</v>
      </c>
    </row>
    <row r="47" spans="1:10" x14ac:dyDescent="0.35">
      <c r="B47" s="109" t="s">
        <v>43</v>
      </c>
      <c r="C47" s="110"/>
      <c r="D47" s="29" t="s">
        <v>36</v>
      </c>
      <c r="E47" s="108" t="s">
        <v>54</v>
      </c>
      <c r="F47" s="108"/>
      <c r="G47" s="108"/>
      <c r="H47" s="108"/>
      <c r="I47" s="108"/>
      <c r="J47" s="108"/>
    </row>
    <row r="48" spans="1:10" ht="16" x14ac:dyDescent="0.4">
      <c r="B48" s="111" t="s">
        <v>44</v>
      </c>
      <c r="C48" s="112"/>
      <c r="D48" s="12"/>
      <c r="E48" s="105"/>
      <c r="F48" s="105"/>
      <c r="G48" s="105"/>
      <c r="H48" s="105"/>
      <c r="I48" s="105"/>
      <c r="J48" s="105"/>
    </row>
    <row r="49" spans="2:11" ht="16" x14ac:dyDescent="0.4">
      <c r="B49" s="111" t="s">
        <v>45</v>
      </c>
      <c r="C49" s="112"/>
      <c r="D49" s="12"/>
      <c r="E49" s="105"/>
      <c r="F49" s="105"/>
      <c r="G49" s="105"/>
      <c r="H49" s="105"/>
      <c r="I49" s="105"/>
      <c r="J49" s="105"/>
    </row>
    <row r="50" spans="2:11" ht="16" x14ac:dyDescent="0.4">
      <c r="B50" s="111" t="s">
        <v>59</v>
      </c>
      <c r="C50" s="112"/>
      <c r="D50" s="12">
        <v>1660000</v>
      </c>
      <c r="E50" s="105"/>
      <c r="F50" s="105"/>
      <c r="G50" s="105"/>
      <c r="H50" s="105"/>
      <c r="I50" s="105"/>
      <c r="J50" s="105"/>
    </row>
    <row r="51" spans="2:11" ht="16" x14ac:dyDescent="0.4">
      <c r="B51" s="106" t="s">
        <v>46</v>
      </c>
      <c r="C51" s="107"/>
      <c r="D51" s="13">
        <f>SUM(D48:D50)</f>
        <v>1660000</v>
      </c>
      <c r="E51" s="105"/>
      <c r="F51" s="105"/>
      <c r="G51" s="105"/>
      <c r="H51" s="105"/>
      <c r="I51" s="105"/>
      <c r="J51" s="105"/>
    </row>
    <row r="53" spans="2:11" ht="16" x14ac:dyDescent="0.4">
      <c r="B53" s="106" t="s">
        <v>47</v>
      </c>
      <c r="C53" s="107"/>
      <c r="D53" s="13">
        <f>D51+D43+D34</f>
        <v>1660000</v>
      </c>
      <c r="E53" s="105"/>
      <c r="F53" s="105"/>
      <c r="G53" s="105"/>
      <c r="H53" s="105"/>
      <c r="I53" s="105"/>
      <c r="J53" s="105"/>
    </row>
    <row r="54" spans="2:11" ht="16" x14ac:dyDescent="0.4">
      <c r="B54" s="106" t="s">
        <v>120</v>
      </c>
      <c r="C54" s="107"/>
      <c r="D54" s="13" t="e">
        <f>D53/(C8*C7)</f>
        <v>#N/A</v>
      </c>
      <c r="E54" s="105"/>
      <c r="F54" s="105"/>
      <c r="G54" s="105"/>
      <c r="H54" s="105"/>
      <c r="I54" s="105"/>
      <c r="J54" s="105"/>
    </row>
    <row r="56" spans="2:11" x14ac:dyDescent="0.35">
      <c r="B56" s="2" t="s">
        <v>130</v>
      </c>
    </row>
    <row r="57" spans="2:11" x14ac:dyDescent="0.35">
      <c r="B57" s="22"/>
      <c r="C57" s="21">
        <f>INNTEKTER!$C$18</f>
        <v>0</v>
      </c>
      <c r="D57" s="21">
        <f t="shared" ref="D57:J57" si="1">C57+1</f>
        <v>1</v>
      </c>
      <c r="E57" s="21">
        <f t="shared" si="1"/>
        <v>2</v>
      </c>
      <c r="F57" s="21">
        <f t="shared" si="1"/>
        <v>3</v>
      </c>
      <c r="G57" s="21">
        <f t="shared" si="1"/>
        <v>4</v>
      </c>
      <c r="H57" s="21">
        <f t="shared" si="1"/>
        <v>5</v>
      </c>
      <c r="I57" s="21">
        <f t="shared" si="1"/>
        <v>6</v>
      </c>
      <c r="J57" s="21">
        <f t="shared" si="1"/>
        <v>7</v>
      </c>
    </row>
    <row r="58" spans="2:11" ht="16" x14ac:dyDescent="0.35">
      <c r="B58" s="23" t="s">
        <v>60</v>
      </c>
      <c r="C58" s="46" t="e">
        <f>INNTEKTER!E61</f>
        <v>#N/A</v>
      </c>
      <c r="D58" s="46" t="e">
        <f>INNTEKTER!F61</f>
        <v>#N/A</v>
      </c>
      <c r="E58" s="46" t="e">
        <f>INNTEKTER!G61</f>
        <v>#N/A</v>
      </c>
      <c r="F58" s="46" t="e">
        <f>INNTEKTER!H61</f>
        <v>#N/A</v>
      </c>
      <c r="G58" s="46" t="e">
        <f>INNTEKTER!I61</f>
        <v>#N/A</v>
      </c>
      <c r="H58" s="46" t="e">
        <f>INNTEKTER!J61</f>
        <v>#N/A</v>
      </c>
      <c r="I58" s="46" t="e">
        <f>INNTEKTER!K61</f>
        <v>#N/A</v>
      </c>
      <c r="J58" s="46" t="e">
        <f>I58</f>
        <v>#N/A</v>
      </c>
      <c r="K58" s="78" t="s">
        <v>131</v>
      </c>
    </row>
    <row r="60" spans="2:11" x14ac:dyDescent="0.35">
      <c r="B60" s="22"/>
      <c r="C60" s="21">
        <f>INNTEKTER!$C$18</f>
        <v>0</v>
      </c>
      <c r="D60" s="21">
        <f t="shared" ref="D60" si="2">C60+1</f>
        <v>1</v>
      </c>
      <c r="E60" s="21">
        <f t="shared" ref="E60" si="3">D60+1</f>
        <v>2</v>
      </c>
      <c r="F60" s="21">
        <f t="shared" ref="F60" si="4">E60+1</f>
        <v>3</v>
      </c>
      <c r="G60" s="21">
        <f t="shared" ref="G60" si="5">F60+1</f>
        <v>4</v>
      </c>
      <c r="H60" s="21">
        <f t="shared" ref="H60" si="6">G60+1</f>
        <v>5</v>
      </c>
      <c r="I60" s="21">
        <f t="shared" ref="I60" si="7">H60+1</f>
        <v>6</v>
      </c>
      <c r="J60" s="21">
        <f t="shared" ref="J60" si="8">I60+1</f>
        <v>7</v>
      </c>
    </row>
    <row r="61" spans="2:11" x14ac:dyDescent="0.35">
      <c r="B61" s="22" t="s">
        <v>72</v>
      </c>
      <c r="C61" s="24" t="e">
        <f t="shared" ref="C61:J61" si="9">$D$53*C58</f>
        <v>#N/A</v>
      </c>
      <c r="D61" s="24" t="e">
        <f t="shared" si="9"/>
        <v>#N/A</v>
      </c>
      <c r="E61" s="24" t="e">
        <f t="shared" si="9"/>
        <v>#N/A</v>
      </c>
      <c r="F61" s="24" t="e">
        <f t="shared" si="9"/>
        <v>#N/A</v>
      </c>
      <c r="G61" s="24" t="e">
        <f t="shared" si="9"/>
        <v>#N/A</v>
      </c>
      <c r="H61" s="24" t="e">
        <f t="shared" si="9"/>
        <v>#N/A</v>
      </c>
      <c r="I61" s="24" t="e">
        <f t="shared" si="9"/>
        <v>#N/A</v>
      </c>
      <c r="J61" s="24" t="e">
        <f t="shared" si="9"/>
        <v>#N/A</v>
      </c>
    </row>
  </sheetData>
  <mergeCells count="44">
    <mergeCell ref="C6:F6"/>
    <mergeCell ref="B47:C47"/>
    <mergeCell ref="B48:C48"/>
    <mergeCell ref="B49:C49"/>
    <mergeCell ref="B50:C50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35:J35"/>
    <mergeCell ref="E21:J21"/>
    <mergeCell ref="E25:J25"/>
    <mergeCell ref="E26:J26"/>
    <mergeCell ref="E27:J27"/>
    <mergeCell ref="E28:J28"/>
    <mergeCell ref="E29:J29"/>
    <mergeCell ref="E42:J42"/>
    <mergeCell ref="E51:J51"/>
    <mergeCell ref="E30:J30"/>
    <mergeCell ref="E31:J31"/>
    <mergeCell ref="E32:J32"/>
    <mergeCell ref="E33:J33"/>
    <mergeCell ref="E34:J34"/>
    <mergeCell ref="D8:F8"/>
    <mergeCell ref="D9:F9"/>
    <mergeCell ref="D7:F7"/>
    <mergeCell ref="E53:J53"/>
    <mergeCell ref="B54:C54"/>
    <mergeCell ref="E54:J54"/>
    <mergeCell ref="E43:J43"/>
    <mergeCell ref="E47:J47"/>
    <mergeCell ref="E48:J48"/>
    <mergeCell ref="E49:J49"/>
    <mergeCell ref="E50:J50"/>
    <mergeCell ref="B51:C51"/>
    <mergeCell ref="B53:C53"/>
    <mergeCell ref="E39:J39"/>
    <mergeCell ref="E40:J40"/>
    <mergeCell ref="E41:J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318C-724B-40CC-A5A7-94A28A452DFD}">
  <dimension ref="A1:K30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baseColWidth="10" defaultColWidth="11.453125" defaultRowHeight="14.5" x14ac:dyDescent="0.35"/>
  <cols>
    <col min="1" max="1" width="11.26953125" customWidth="1"/>
    <col min="2" max="2" width="36" customWidth="1"/>
    <col min="3" max="3" width="13.1796875" customWidth="1"/>
    <col min="4" max="10" width="10.54296875" customWidth="1"/>
    <col min="11" max="11" width="12.81640625" customWidth="1"/>
    <col min="12" max="12" width="11.1796875" customWidth="1"/>
    <col min="13" max="13" width="11.81640625" customWidth="1"/>
    <col min="14" max="14" width="17.1796875" customWidth="1"/>
  </cols>
  <sheetData>
    <row r="1" spans="1:10" ht="18.5" x14ac:dyDescent="0.4">
      <c r="A1" s="70">
        <v>46086</v>
      </c>
      <c r="B1" s="7" t="s">
        <v>73</v>
      </c>
    </row>
    <row r="2" spans="1:10" ht="12" customHeight="1" x14ac:dyDescent="0.35">
      <c r="B2" s="7"/>
    </row>
    <row r="3" spans="1:10" ht="18.75" customHeight="1" x14ac:dyDescent="0.35">
      <c r="B3" t="s">
        <v>90</v>
      </c>
    </row>
    <row r="4" spans="1:10" ht="18" customHeight="1" x14ac:dyDescent="0.35">
      <c r="B4" s="43" t="s">
        <v>96</v>
      </c>
      <c r="C4" s="47" t="s">
        <v>97</v>
      </c>
      <c r="D4" s="113" t="s">
        <v>54</v>
      </c>
      <c r="E4" s="113"/>
      <c r="F4" s="113"/>
      <c r="G4" s="113"/>
      <c r="H4" s="113"/>
      <c r="I4" s="113"/>
    </row>
    <row r="5" spans="1:10" ht="18" customHeight="1" x14ac:dyDescent="0.4">
      <c r="B5" s="44" t="s">
        <v>91</v>
      </c>
      <c r="C5" s="45">
        <v>398000</v>
      </c>
      <c r="D5" s="114" t="s">
        <v>55</v>
      </c>
      <c r="E5" s="114"/>
      <c r="F5" s="114"/>
      <c r="G5" s="114"/>
      <c r="H5" s="114"/>
      <c r="I5" s="114"/>
    </row>
    <row r="6" spans="1:10" ht="18" customHeight="1" x14ac:dyDescent="0.4">
      <c r="B6" s="44" t="s">
        <v>92</v>
      </c>
      <c r="C6" s="45">
        <v>346000</v>
      </c>
      <c r="D6" s="114" t="s">
        <v>55</v>
      </c>
      <c r="E6" s="114"/>
      <c r="F6" s="114"/>
      <c r="G6" s="114"/>
      <c r="H6" s="114"/>
      <c r="I6" s="114"/>
    </row>
    <row r="7" spans="1:10" ht="18" customHeight="1" x14ac:dyDescent="0.4">
      <c r="B7" s="44" t="s">
        <v>150</v>
      </c>
      <c r="C7" s="45">
        <v>289000</v>
      </c>
      <c r="D7" s="114" t="s">
        <v>55</v>
      </c>
      <c r="E7" s="114"/>
      <c r="F7" s="114"/>
      <c r="G7" s="114"/>
      <c r="H7" s="114"/>
      <c r="I7" s="114"/>
      <c r="J7" t="s">
        <v>151</v>
      </c>
    </row>
    <row r="8" spans="1:10" ht="21.75" customHeight="1" x14ac:dyDescent="0.4">
      <c r="B8" s="44" t="s">
        <v>116</v>
      </c>
      <c r="C8" s="45">
        <v>39000</v>
      </c>
      <c r="D8" s="114" t="s">
        <v>115</v>
      </c>
      <c r="E8" s="114"/>
      <c r="F8" s="114"/>
      <c r="G8" s="114"/>
      <c r="H8" s="114"/>
      <c r="I8" s="114"/>
      <c r="J8" s="8" t="s">
        <v>127</v>
      </c>
    </row>
    <row r="9" spans="1:10" ht="15" customHeight="1" x14ac:dyDescent="0.35"/>
    <row r="10" spans="1:10" ht="21.75" customHeight="1" x14ac:dyDescent="0.4">
      <c r="B10" s="44" t="s">
        <v>93</v>
      </c>
      <c r="C10" s="54">
        <v>0.38</v>
      </c>
      <c r="D10" s="114" t="s">
        <v>94</v>
      </c>
      <c r="E10" s="114"/>
      <c r="F10" s="114"/>
      <c r="G10" s="114"/>
      <c r="H10" s="114"/>
      <c r="I10" s="114"/>
    </row>
    <row r="11" spans="1:10" ht="30.75" customHeight="1" x14ac:dyDescent="0.4">
      <c r="B11" s="90" t="s">
        <v>149</v>
      </c>
      <c r="C11" s="45">
        <f>ROUND((C5*C10)+(C6*(100%-C10)),-3) +C7</f>
        <v>655000</v>
      </c>
      <c r="D11" s="114"/>
      <c r="E11" s="114"/>
      <c r="F11" s="114"/>
      <c r="G11" s="114"/>
      <c r="H11" s="114"/>
      <c r="I11" s="114"/>
    </row>
    <row r="12" spans="1:10" ht="21.75" customHeight="1" x14ac:dyDescent="0.35"/>
    <row r="13" spans="1:10" ht="21.75" customHeight="1" x14ac:dyDescent="0.35">
      <c r="B13" s="62" t="s">
        <v>12</v>
      </c>
      <c r="C13" s="108">
        <f>INNTEKTER!C9</f>
        <v>0</v>
      </c>
      <c r="D13" s="108"/>
      <c r="E13" s="108"/>
      <c r="F13" t="s">
        <v>139</v>
      </c>
    </row>
    <row r="14" spans="1:10" ht="21.75" customHeight="1" x14ac:dyDescent="0.35">
      <c r="B14" s="63" t="s">
        <v>102</v>
      </c>
      <c r="C14" s="24" t="e">
        <f>VLOOKUP(INNTEKTER!$C$10,INNTEKTER!$B$52:$L$55,11,FALSE)</f>
        <v>#N/A</v>
      </c>
      <c r="F14" t="s">
        <v>140</v>
      </c>
    </row>
    <row r="15" spans="1:10" ht="28.5" customHeight="1" x14ac:dyDescent="0.35">
      <c r="B15" s="66" t="s">
        <v>117</v>
      </c>
      <c r="C15" s="58">
        <f>INNTEKTER!C16/60*INNTEKTER!C17</f>
        <v>0</v>
      </c>
      <c r="E15" s="67"/>
      <c r="F15" t="s">
        <v>140</v>
      </c>
    </row>
    <row r="16" spans="1:10" ht="21.75" customHeight="1" x14ac:dyDescent="0.35">
      <c r="B16" s="63" t="s">
        <v>9</v>
      </c>
      <c r="C16" s="58">
        <f>INNTEKTER!C18</f>
        <v>0</v>
      </c>
      <c r="D16" s="67"/>
      <c r="F16" t="s">
        <v>139</v>
      </c>
    </row>
    <row r="17" spans="2:11" ht="21.75" customHeight="1" x14ac:dyDescent="0.35"/>
    <row r="18" spans="2:11" ht="21.75" customHeight="1" x14ac:dyDescent="0.35">
      <c r="B18" s="29" t="s">
        <v>98</v>
      </c>
      <c r="C18" s="22" t="s">
        <v>97</v>
      </c>
      <c r="D18" s="108" t="s">
        <v>54</v>
      </c>
      <c r="E18" s="108"/>
      <c r="F18" s="108"/>
      <c r="G18" s="108"/>
      <c r="H18" s="108"/>
      <c r="I18" s="108"/>
    </row>
    <row r="19" spans="2:11" ht="21.75" customHeight="1" x14ac:dyDescent="0.4">
      <c r="B19" s="30" t="s">
        <v>100</v>
      </c>
      <c r="C19" s="9">
        <f>'DIREKTE KOSTNADER FAK'!C35*'indirekte kostnader'!C11</f>
        <v>0</v>
      </c>
      <c r="D19" s="104"/>
      <c r="E19" s="104"/>
      <c r="F19" s="104"/>
      <c r="G19" s="104"/>
      <c r="H19" s="104"/>
      <c r="I19" s="104"/>
    </row>
    <row r="20" spans="2:11" ht="21.75" customHeight="1" x14ac:dyDescent="0.4">
      <c r="B20" s="30" t="s">
        <v>101</v>
      </c>
      <c r="C20" s="9" t="e">
        <f>C8*C15*C14</f>
        <v>#N/A</v>
      </c>
      <c r="D20" s="104"/>
      <c r="E20" s="104"/>
      <c r="F20" s="104"/>
      <c r="G20" s="104"/>
      <c r="H20" s="104"/>
      <c r="I20" s="104"/>
    </row>
    <row r="21" spans="2:11" ht="29.15" customHeight="1" x14ac:dyDescent="0.4">
      <c r="B21" s="30" t="s">
        <v>128</v>
      </c>
      <c r="C21" s="77">
        <f>-'DIREKTE KOSTNADER FAK'!D43</f>
        <v>0</v>
      </c>
      <c r="D21" s="105" t="s">
        <v>129</v>
      </c>
      <c r="E21" s="105"/>
      <c r="F21" s="105"/>
      <c r="G21" s="105"/>
      <c r="H21" s="105"/>
      <c r="I21" s="105"/>
    </row>
    <row r="22" spans="2:11" ht="21.75" customHeight="1" x14ac:dyDescent="0.4">
      <c r="B22" s="31" t="s">
        <v>104</v>
      </c>
      <c r="C22" s="13" t="e">
        <f>SUM(C19:C21)</f>
        <v>#N/A</v>
      </c>
      <c r="D22" s="108" t="s">
        <v>103</v>
      </c>
      <c r="E22" s="108"/>
      <c r="F22" s="108"/>
      <c r="G22" s="108"/>
      <c r="H22" s="108"/>
      <c r="I22" s="108"/>
    </row>
    <row r="23" spans="2:11" ht="21.75" customHeight="1" x14ac:dyDescent="0.4">
      <c r="B23" s="31" t="s">
        <v>119</v>
      </c>
      <c r="C23" s="13" t="e">
        <f>C22/(C15*C14)</f>
        <v>#N/A</v>
      </c>
      <c r="D23" s="105"/>
      <c r="E23" s="105"/>
      <c r="F23" s="105"/>
      <c r="G23" s="105"/>
      <c r="H23" s="105"/>
      <c r="I23" s="105"/>
    </row>
    <row r="24" spans="2:11" ht="21.75" customHeight="1" x14ac:dyDescent="0.35"/>
    <row r="25" spans="2:11" x14ac:dyDescent="0.35">
      <c r="B25" s="2" t="s">
        <v>110</v>
      </c>
    </row>
    <row r="26" spans="2:11" x14ac:dyDescent="0.35">
      <c r="B26" s="22"/>
      <c r="C26" s="21">
        <f>INNTEKTER!$C$18</f>
        <v>0</v>
      </c>
      <c r="D26" s="21">
        <f t="shared" ref="D26:J26" si="0">C26+1</f>
        <v>1</v>
      </c>
      <c r="E26" s="21">
        <f t="shared" si="0"/>
        <v>2</v>
      </c>
      <c r="F26" s="21">
        <f t="shared" si="0"/>
        <v>3</v>
      </c>
      <c r="G26" s="21">
        <f t="shared" si="0"/>
        <v>4</v>
      </c>
      <c r="H26" s="21">
        <f t="shared" si="0"/>
        <v>5</v>
      </c>
      <c r="I26" s="21">
        <f t="shared" si="0"/>
        <v>6</v>
      </c>
      <c r="J26" s="21">
        <f t="shared" si="0"/>
        <v>7</v>
      </c>
    </row>
    <row r="27" spans="2:11" ht="25.5" customHeight="1" x14ac:dyDescent="0.35">
      <c r="B27" s="23" t="s">
        <v>107</v>
      </c>
      <c r="C27" s="65" t="e">
        <f>INNTEKTER!E61</f>
        <v>#N/A</v>
      </c>
      <c r="D27" s="65" t="e">
        <f>INNTEKTER!F61</f>
        <v>#N/A</v>
      </c>
      <c r="E27" s="65" t="e">
        <f>INNTEKTER!G61</f>
        <v>#N/A</v>
      </c>
      <c r="F27" s="65" t="e">
        <f>INNTEKTER!H61</f>
        <v>#N/A</v>
      </c>
      <c r="G27" s="65" t="e">
        <f>INNTEKTER!I61</f>
        <v>#N/A</v>
      </c>
      <c r="H27" s="65" t="e">
        <f>INNTEKTER!J61</f>
        <v>#N/A</v>
      </c>
      <c r="I27" s="65" t="e">
        <f>INNTEKTER!K61</f>
        <v>#N/A</v>
      </c>
      <c r="J27" s="65" t="e">
        <f>I27</f>
        <v>#N/A</v>
      </c>
      <c r="K27" t="s">
        <v>138</v>
      </c>
    </row>
    <row r="29" spans="2:11" x14ac:dyDescent="0.35">
      <c r="B29" s="22"/>
      <c r="C29" s="21">
        <f>INNTEKTER!$C$18</f>
        <v>0</v>
      </c>
      <c r="D29" s="21">
        <f t="shared" ref="D29:J29" si="1">C29+1</f>
        <v>1</v>
      </c>
      <c r="E29" s="21">
        <f t="shared" si="1"/>
        <v>2</v>
      </c>
      <c r="F29" s="21">
        <f t="shared" si="1"/>
        <v>3</v>
      </c>
      <c r="G29" s="21">
        <f t="shared" si="1"/>
        <v>4</v>
      </c>
      <c r="H29" s="21">
        <f t="shared" si="1"/>
        <v>5</v>
      </c>
      <c r="I29" s="21">
        <f t="shared" si="1"/>
        <v>6</v>
      </c>
      <c r="J29" s="21">
        <f t="shared" si="1"/>
        <v>7</v>
      </c>
    </row>
    <row r="30" spans="2:11" ht="21" customHeight="1" x14ac:dyDescent="0.35">
      <c r="B30" s="22" t="s">
        <v>108</v>
      </c>
      <c r="C30" s="24" t="e">
        <f>$C$22*C27</f>
        <v>#N/A</v>
      </c>
      <c r="D30" s="24" t="e">
        <f t="shared" ref="D30:J30" si="2">$C$22*D27</f>
        <v>#N/A</v>
      </c>
      <c r="E30" s="24" t="e">
        <f t="shared" si="2"/>
        <v>#N/A</v>
      </c>
      <c r="F30" s="24" t="e">
        <f t="shared" si="2"/>
        <v>#N/A</v>
      </c>
      <c r="G30" s="24" t="e">
        <f t="shared" si="2"/>
        <v>#N/A</v>
      </c>
      <c r="H30" s="24" t="e">
        <f t="shared" si="2"/>
        <v>#N/A</v>
      </c>
      <c r="I30" s="24" t="e">
        <f t="shared" si="2"/>
        <v>#N/A</v>
      </c>
      <c r="J30" s="24" t="e">
        <f t="shared" si="2"/>
        <v>#N/A</v>
      </c>
    </row>
  </sheetData>
  <mergeCells count="14">
    <mergeCell ref="D4:I4"/>
    <mergeCell ref="D6:I6"/>
    <mergeCell ref="D8:I8"/>
    <mergeCell ref="D10:I10"/>
    <mergeCell ref="D18:I18"/>
    <mergeCell ref="D23:I23"/>
    <mergeCell ref="D21:I21"/>
    <mergeCell ref="D19:I19"/>
    <mergeCell ref="D5:I5"/>
    <mergeCell ref="D20:I20"/>
    <mergeCell ref="D22:I22"/>
    <mergeCell ref="C13:E13"/>
    <mergeCell ref="D11:I11"/>
    <mergeCell ref="D7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4E3F-747C-4FD4-89F9-D640D0009453}">
  <dimension ref="B1:J17"/>
  <sheetViews>
    <sheetView showGridLines="0" zoomScale="90" zoomScaleNormal="90" workbookViewId="0">
      <pane ySplit="1" topLeftCell="A2" activePane="bottomLeft" state="frozen"/>
      <selection pane="bottomLeft" activeCell="B8" sqref="B8:D9"/>
    </sheetView>
  </sheetViews>
  <sheetFormatPr baseColWidth="10" defaultColWidth="11.453125" defaultRowHeight="14.5" x14ac:dyDescent="0.35"/>
  <cols>
    <col min="1" max="1" width="6.81640625" customWidth="1"/>
    <col min="2" max="2" width="31.26953125" customWidth="1"/>
    <col min="3" max="3" width="13.1796875" customWidth="1"/>
    <col min="4" max="10" width="11.453125" customWidth="1"/>
    <col min="11" max="11" width="10.453125" customWidth="1"/>
    <col min="12" max="12" width="12.81640625" customWidth="1"/>
    <col min="13" max="13" width="11.1796875" customWidth="1"/>
    <col min="14" max="14" width="11.81640625" customWidth="1"/>
    <col min="15" max="15" width="17.1796875" customWidth="1"/>
  </cols>
  <sheetData>
    <row r="1" spans="2:10" ht="18.5" x14ac:dyDescent="0.35">
      <c r="B1" s="7" t="s">
        <v>51</v>
      </c>
    </row>
    <row r="2" spans="2:10" ht="5.5" customHeight="1" x14ac:dyDescent="0.35"/>
    <row r="3" spans="2:10" ht="18.5" x14ac:dyDescent="0.45">
      <c r="B3" s="81">
        <f>INNTEKTER!C9</f>
        <v>0</v>
      </c>
      <c r="C3" s="79"/>
      <c r="D3" s="80"/>
    </row>
    <row r="4" spans="2:10" ht="46.5" customHeight="1" x14ac:dyDescent="0.35">
      <c r="B4" s="22">
        <f>INNTEKTER!C10</f>
        <v>0</v>
      </c>
      <c r="C4" s="75" t="s">
        <v>123</v>
      </c>
      <c r="D4" s="75" t="s">
        <v>122</v>
      </c>
    </row>
    <row r="5" spans="2:10" x14ac:dyDescent="0.35">
      <c r="B5" s="66" t="s">
        <v>61</v>
      </c>
      <c r="C5" s="24" t="e">
        <f>INNTEKTER!J60</f>
        <v>#N/A</v>
      </c>
      <c r="D5" s="24" t="e">
        <f>C5/INNTEKTER!$C$21</f>
        <v>#N/A</v>
      </c>
    </row>
    <row r="6" spans="2:10" ht="16" x14ac:dyDescent="0.35">
      <c r="B6" s="73" t="s">
        <v>52</v>
      </c>
      <c r="C6" s="24" t="e">
        <f>-'DIREKTE KOSTNADER FAK'!J61</f>
        <v>#N/A</v>
      </c>
      <c r="D6" s="24" t="e">
        <f>C6/INNTEKTER!$C$21</f>
        <v>#N/A</v>
      </c>
    </row>
    <row r="7" spans="2:10" ht="21.75" customHeight="1" x14ac:dyDescent="0.35">
      <c r="B7" s="74" t="s">
        <v>111</v>
      </c>
      <c r="C7" s="26" t="e">
        <f t="shared" ref="C7:D7" si="0">SUM(C5:C6)</f>
        <v>#N/A</v>
      </c>
      <c r="D7" s="26" t="e">
        <f t="shared" si="0"/>
        <v>#N/A</v>
      </c>
    </row>
    <row r="8" spans="2:10" ht="16" x14ac:dyDescent="0.35">
      <c r="B8" s="73" t="s">
        <v>105</v>
      </c>
      <c r="C8" s="24" t="e">
        <f>-'indirekte kostnader'!J30</f>
        <v>#N/A</v>
      </c>
      <c r="D8" s="24" t="e">
        <f>C8/INNTEKTER!$C$21</f>
        <v>#N/A</v>
      </c>
      <c r="E8" t="s">
        <v>133</v>
      </c>
    </row>
    <row r="9" spans="2:10" ht="16" x14ac:dyDescent="0.35">
      <c r="B9" s="74" t="s">
        <v>109</v>
      </c>
      <c r="C9" s="26" t="e">
        <f>C7+C8</f>
        <v>#N/A</v>
      </c>
      <c r="D9" s="26" t="e">
        <f>D7+D8</f>
        <v>#N/A</v>
      </c>
    </row>
    <row r="11" spans="2:10" x14ac:dyDescent="0.35">
      <c r="B11" s="2" t="s">
        <v>121</v>
      </c>
    </row>
    <row r="12" spans="2:10" ht="22.5" customHeight="1" x14ac:dyDescent="0.35">
      <c r="B12" s="22">
        <f>INNTEKTER!C10</f>
        <v>0</v>
      </c>
      <c r="C12" s="21">
        <f>INNTEKTER!C18</f>
        <v>0</v>
      </c>
      <c r="D12" s="21">
        <f>C12+1</f>
        <v>1</v>
      </c>
      <c r="E12" s="21">
        <f>D12+1</f>
        <v>2</v>
      </c>
      <c r="F12" s="21">
        <f>E12+1</f>
        <v>3</v>
      </c>
      <c r="G12" s="21">
        <f>F12+1</f>
        <v>4</v>
      </c>
      <c r="H12" s="21">
        <f>G12+1</f>
        <v>5</v>
      </c>
      <c r="I12" s="21">
        <f t="shared" ref="I12:J12" si="1">H12+1</f>
        <v>6</v>
      </c>
      <c r="J12" s="21">
        <f t="shared" si="1"/>
        <v>7</v>
      </c>
    </row>
    <row r="13" spans="2:10" x14ac:dyDescent="0.35">
      <c r="B13" s="48" t="s">
        <v>61</v>
      </c>
      <c r="C13" s="28">
        <f>INNTEKTER!C60</f>
        <v>0</v>
      </c>
      <c r="D13" s="28">
        <f>INNTEKTER!D60</f>
        <v>0</v>
      </c>
      <c r="E13" s="24" t="e">
        <f>INNTEKTER!E60</f>
        <v>#N/A</v>
      </c>
      <c r="F13" s="24" t="e">
        <f>INNTEKTER!F60</f>
        <v>#N/A</v>
      </c>
      <c r="G13" s="24" t="e">
        <f>INNTEKTER!G60</f>
        <v>#N/A</v>
      </c>
      <c r="H13" s="24" t="e">
        <f>INNTEKTER!H60</f>
        <v>#N/A</v>
      </c>
      <c r="I13" s="24" t="e">
        <f>INNTEKTER!I60</f>
        <v>#N/A</v>
      </c>
      <c r="J13" s="24" t="e">
        <f>INNTEKTER!J60</f>
        <v>#N/A</v>
      </c>
    </row>
    <row r="14" spans="2:10" ht="16" x14ac:dyDescent="0.35">
      <c r="B14" s="23" t="s">
        <v>52</v>
      </c>
      <c r="C14" s="24" t="e">
        <f>-'DIREKTE KOSTNADER FAK'!C61</f>
        <v>#N/A</v>
      </c>
      <c r="D14" s="24" t="e">
        <f>-'DIREKTE KOSTNADER FAK'!D61</f>
        <v>#N/A</v>
      </c>
      <c r="E14" s="24" t="e">
        <f>-'DIREKTE KOSTNADER FAK'!E61</f>
        <v>#N/A</v>
      </c>
      <c r="F14" s="24" t="e">
        <f>-'DIREKTE KOSTNADER FAK'!F61</f>
        <v>#N/A</v>
      </c>
      <c r="G14" s="24" t="e">
        <f>-'DIREKTE KOSTNADER FAK'!G61</f>
        <v>#N/A</v>
      </c>
      <c r="H14" s="24" t="e">
        <f>-'DIREKTE KOSTNADER FAK'!H61</f>
        <v>#N/A</v>
      </c>
      <c r="I14" s="24" t="e">
        <f>-'DIREKTE KOSTNADER FAK'!I61</f>
        <v>#N/A</v>
      </c>
      <c r="J14" s="24" t="e">
        <f>-'DIREKTE KOSTNADER FAK'!J61</f>
        <v>#N/A</v>
      </c>
    </row>
    <row r="15" spans="2:10" ht="25.5" customHeight="1" x14ac:dyDescent="0.35">
      <c r="B15" s="25" t="s">
        <v>111</v>
      </c>
      <c r="C15" s="26" t="e">
        <f>SUM(C13:C14)</f>
        <v>#N/A</v>
      </c>
      <c r="D15" s="26" t="e">
        <f t="shared" ref="D15:J15" si="2">SUM(D13:D14)</f>
        <v>#N/A</v>
      </c>
      <c r="E15" s="26" t="e">
        <f t="shared" si="2"/>
        <v>#N/A</v>
      </c>
      <c r="F15" s="26" t="e">
        <f t="shared" si="2"/>
        <v>#N/A</v>
      </c>
      <c r="G15" s="26" t="e">
        <f t="shared" si="2"/>
        <v>#N/A</v>
      </c>
      <c r="H15" s="26" t="e">
        <f t="shared" si="2"/>
        <v>#N/A</v>
      </c>
      <c r="I15" s="26" t="e">
        <f t="shared" si="2"/>
        <v>#N/A</v>
      </c>
      <c r="J15" s="26" t="e">
        <f t="shared" si="2"/>
        <v>#N/A</v>
      </c>
    </row>
    <row r="16" spans="2:10" ht="16" x14ac:dyDescent="0.35">
      <c r="B16" s="23" t="s">
        <v>105</v>
      </c>
      <c r="C16" s="24" t="e">
        <f>-'indirekte kostnader'!C30</f>
        <v>#N/A</v>
      </c>
      <c r="D16" s="24" t="e">
        <f>-'indirekte kostnader'!D30</f>
        <v>#N/A</v>
      </c>
      <c r="E16" s="24" t="e">
        <f>-'indirekte kostnader'!E30</f>
        <v>#N/A</v>
      </c>
      <c r="F16" s="24" t="e">
        <f>-'indirekte kostnader'!F30</f>
        <v>#N/A</v>
      </c>
      <c r="G16" s="24" t="e">
        <f>-'indirekte kostnader'!G30</f>
        <v>#N/A</v>
      </c>
      <c r="H16" s="24" t="e">
        <f>-'indirekte kostnader'!H30</f>
        <v>#N/A</v>
      </c>
      <c r="I16" s="24" t="e">
        <f>-'indirekte kostnader'!I30</f>
        <v>#N/A</v>
      </c>
      <c r="J16" s="24" t="e">
        <f>-'indirekte kostnader'!J30</f>
        <v>#N/A</v>
      </c>
    </row>
    <row r="17" spans="2:10" ht="16" x14ac:dyDescent="0.35">
      <c r="B17" s="25" t="s">
        <v>109</v>
      </c>
      <c r="C17" s="26" t="e">
        <f>C15+C16</f>
        <v>#N/A</v>
      </c>
      <c r="D17" s="26" t="e">
        <f t="shared" ref="D17:J17" si="3">D15+D16</f>
        <v>#N/A</v>
      </c>
      <c r="E17" s="26" t="e">
        <f t="shared" si="3"/>
        <v>#N/A</v>
      </c>
      <c r="F17" s="26" t="e">
        <f t="shared" si="3"/>
        <v>#N/A</v>
      </c>
      <c r="G17" s="26" t="e">
        <f t="shared" si="3"/>
        <v>#N/A</v>
      </c>
      <c r="H17" s="26" t="e">
        <f t="shared" si="3"/>
        <v>#N/A</v>
      </c>
      <c r="I17" s="26" t="e">
        <f t="shared" si="3"/>
        <v>#N/A</v>
      </c>
      <c r="J17" s="26" t="e">
        <f t="shared" si="3"/>
        <v>#N/A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05E0-1DDA-41B0-A464-BF4529363E90}">
  <dimension ref="A1:G25"/>
  <sheetViews>
    <sheetView workbookViewId="0">
      <selection activeCell="K25" sqref="K25"/>
    </sheetView>
  </sheetViews>
  <sheetFormatPr baseColWidth="10" defaultColWidth="9.1796875" defaultRowHeight="14.5" x14ac:dyDescent="0.35"/>
  <cols>
    <col min="1" max="1" width="38.54296875" customWidth="1"/>
    <col min="2" max="9" width="10.7265625" customWidth="1"/>
  </cols>
  <sheetData>
    <row r="1" spans="1:7" ht="21" x14ac:dyDescent="0.5">
      <c r="A1" s="69" t="s">
        <v>112</v>
      </c>
    </row>
    <row r="2" spans="1:7" ht="15" customHeight="1" x14ac:dyDescent="0.4">
      <c r="A2" s="70">
        <v>46070</v>
      </c>
      <c r="C2" s="85"/>
    </row>
    <row r="3" spans="1:7" ht="15" thickBot="1" x14ac:dyDescent="0.4">
      <c r="A3" s="116" t="s">
        <v>113</v>
      </c>
      <c r="B3" s="117"/>
      <c r="C3" s="117"/>
      <c r="D3" s="117"/>
      <c r="E3" s="118"/>
    </row>
    <row r="4" spans="1:7" ht="18.5" x14ac:dyDescent="0.45">
      <c r="A4" s="29"/>
      <c r="B4" s="58" t="s">
        <v>88</v>
      </c>
      <c r="C4" s="58" t="s">
        <v>87</v>
      </c>
      <c r="D4" s="58" t="s">
        <v>86</v>
      </c>
      <c r="E4" s="86" t="s">
        <v>85</v>
      </c>
      <c r="F4" s="88" t="s">
        <v>84</v>
      </c>
    </row>
    <row r="5" spans="1:7" ht="25" customHeight="1" thickBot="1" x14ac:dyDescent="0.5">
      <c r="A5" s="72" t="s">
        <v>114</v>
      </c>
      <c r="B5" s="71">
        <v>0.39</v>
      </c>
      <c r="C5" s="71">
        <v>0.38</v>
      </c>
      <c r="D5" s="71">
        <v>0.31</v>
      </c>
      <c r="E5" s="87">
        <v>0.41</v>
      </c>
      <c r="F5" s="89">
        <f>(B5*B6)+(C5*C6)+(D5*D6)+(E5*E6)</f>
        <v>0.3755559887904808</v>
      </c>
    </row>
    <row r="6" spans="1:7" ht="24.75" customHeight="1" x14ac:dyDescent="0.35">
      <c r="A6" s="72" t="s">
        <v>148</v>
      </c>
      <c r="B6" s="71">
        <f>B23</f>
        <v>0.30215722024627178</v>
      </c>
      <c r="C6" s="71">
        <f t="shared" ref="C6:E6" si="0">C23</f>
        <v>0.34650747310933994</v>
      </c>
      <c r="D6" s="71">
        <f t="shared" si="0"/>
        <v>0.18005642611313533</v>
      </c>
      <c r="E6" s="71">
        <f t="shared" si="0"/>
        <v>0.17127888053125284</v>
      </c>
    </row>
    <row r="8" spans="1:7" ht="21" x14ac:dyDescent="0.5">
      <c r="A8" s="68" t="s">
        <v>22</v>
      </c>
      <c r="B8" s="78"/>
    </row>
    <row r="9" spans="1:7" x14ac:dyDescent="0.35">
      <c r="A9" t="s">
        <v>153</v>
      </c>
    </row>
    <row r="10" spans="1:7" x14ac:dyDescent="0.35">
      <c r="A10" s="53"/>
    </row>
    <row r="11" spans="1:7" x14ac:dyDescent="0.35">
      <c r="A11" s="3"/>
      <c r="B11" s="3" t="s">
        <v>88</v>
      </c>
      <c r="C11" s="3" t="s">
        <v>87</v>
      </c>
      <c r="D11" s="3" t="s">
        <v>86</v>
      </c>
      <c r="E11" s="3" t="s">
        <v>85</v>
      </c>
      <c r="F11" s="83" t="s">
        <v>146</v>
      </c>
      <c r="G11" s="83" t="s">
        <v>84</v>
      </c>
    </row>
    <row r="12" spans="1:7" x14ac:dyDescent="0.35">
      <c r="A12" s="83" t="s">
        <v>22</v>
      </c>
      <c r="B12" s="83" t="s">
        <v>35</v>
      </c>
      <c r="C12" s="83" t="s">
        <v>35</v>
      </c>
      <c r="D12" s="83" t="s">
        <v>35</v>
      </c>
      <c r="E12" s="83" t="s">
        <v>35</v>
      </c>
      <c r="F12" s="83" t="s">
        <v>35</v>
      </c>
      <c r="G12" s="3" t="s">
        <v>89</v>
      </c>
    </row>
    <row r="13" spans="1:7" x14ac:dyDescent="0.35">
      <c r="A13" s="3" t="s">
        <v>83</v>
      </c>
      <c r="B13" s="91">
        <v>5.4</v>
      </c>
      <c r="C13" s="91">
        <v>13.3</v>
      </c>
      <c r="D13" s="91"/>
      <c r="E13" s="91">
        <v>0.35</v>
      </c>
      <c r="F13" s="91">
        <f t="shared" ref="F13:F19" si="1">SUM(B13:E13)</f>
        <v>19.050000000000004</v>
      </c>
      <c r="G13" s="52">
        <f>F13/$F$22</f>
        <v>1.8394781559796368E-2</v>
      </c>
    </row>
    <row r="14" spans="1:7" x14ac:dyDescent="0.35">
      <c r="A14" s="3" t="s">
        <v>82</v>
      </c>
      <c r="B14" s="91">
        <v>110.4</v>
      </c>
      <c r="C14" s="91">
        <v>107</v>
      </c>
      <c r="D14" s="91">
        <v>30.15</v>
      </c>
      <c r="E14" s="91">
        <v>45.104999999999997</v>
      </c>
      <c r="F14" s="91">
        <f t="shared" si="1"/>
        <v>292.65500000000003</v>
      </c>
      <c r="G14" s="52">
        <f t="shared" ref="G14:G22" si="2">F14/$F$22</f>
        <v>0.28258922820903964</v>
      </c>
    </row>
    <row r="15" spans="1:7" x14ac:dyDescent="0.35">
      <c r="A15" s="3" t="s">
        <v>81</v>
      </c>
      <c r="B15" s="91">
        <v>110.35</v>
      </c>
      <c r="C15" s="91">
        <v>128.80000000000001</v>
      </c>
      <c r="D15" s="91">
        <v>79.42</v>
      </c>
      <c r="E15" s="91">
        <v>68.699799999999996</v>
      </c>
      <c r="F15" s="91">
        <f t="shared" si="1"/>
        <v>387.26979999999998</v>
      </c>
      <c r="G15" s="52">
        <f t="shared" si="2"/>
        <v>0.37394978350162861</v>
      </c>
    </row>
    <row r="16" spans="1:7" x14ac:dyDescent="0.35">
      <c r="A16" s="3" t="s">
        <v>80</v>
      </c>
      <c r="B16" s="91">
        <v>59.15</v>
      </c>
      <c r="C16" s="91">
        <v>51.6</v>
      </c>
      <c r="D16" s="91">
        <v>59.3</v>
      </c>
      <c r="E16" s="91">
        <v>38.35</v>
      </c>
      <c r="F16" s="91">
        <f t="shared" si="1"/>
        <v>208.4</v>
      </c>
      <c r="G16" s="52">
        <f t="shared" si="2"/>
        <v>0.20123215102685366</v>
      </c>
    </row>
    <row r="17" spans="1:7" x14ac:dyDescent="0.35">
      <c r="A17" s="3" t="s">
        <v>79</v>
      </c>
      <c r="B17" s="91">
        <v>1.77</v>
      </c>
      <c r="C17" s="91">
        <v>0.2</v>
      </c>
      <c r="D17" s="91">
        <v>0.8</v>
      </c>
      <c r="E17" s="91">
        <v>6.4</v>
      </c>
      <c r="F17" s="91">
        <f t="shared" si="1"/>
        <v>9.17</v>
      </c>
      <c r="G17" s="52">
        <f t="shared" si="2"/>
        <v>8.8546008873140493E-3</v>
      </c>
    </row>
    <row r="18" spans="1:7" x14ac:dyDescent="0.35">
      <c r="A18" s="3" t="s">
        <v>78</v>
      </c>
      <c r="B18" s="91">
        <v>1</v>
      </c>
      <c r="C18" s="3"/>
      <c r="D18" s="91">
        <v>2.8</v>
      </c>
      <c r="E18" s="91">
        <v>1.2</v>
      </c>
      <c r="F18" s="91">
        <f t="shared" si="1"/>
        <v>5</v>
      </c>
      <c r="G18" s="52">
        <f t="shared" si="2"/>
        <v>4.8280266561145308E-3</v>
      </c>
    </row>
    <row r="19" spans="1:7" x14ac:dyDescent="0.35">
      <c r="A19" s="3" t="s">
        <v>77</v>
      </c>
      <c r="B19" s="91">
        <v>20.85</v>
      </c>
      <c r="C19" s="91">
        <v>41.1</v>
      </c>
      <c r="D19" s="91"/>
      <c r="E19" s="91">
        <v>14.9</v>
      </c>
      <c r="F19" s="91">
        <f t="shared" si="1"/>
        <v>76.850000000000009</v>
      </c>
      <c r="G19" s="52">
        <f t="shared" si="2"/>
        <v>7.4206769704480341E-2</v>
      </c>
    </row>
    <row r="20" spans="1:7" x14ac:dyDescent="0.35">
      <c r="A20" s="3" t="s">
        <v>76</v>
      </c>
      <c r="B20" s="91"/>
      <c r="C20" s="91"/>
      <c r="D20" s="91">
        <v>10</v>
      </c>
      <c r="E20" s="91"/>
      <c r="F20" s="91"/>
      <c r="G20" s="52">
        <f t="shared" si="2"/>
        <v>0</v>
      </c>
    </row>
    <row r="21" spans="1:7" x14ac:dyDescent="0.35">
      <c r="A21" s="3" t="s">
        <v>75</v>
      </c>
      <c r="B21" s="91">
        <v>4</v>
      </c>
      <c r="C21" s="91">
        <v>16.850000000000001</v>
      </c>
      <c r="D21" s="91">
        <v>4</v>
      </c>
      <c r="E21" s="91">
        <v>2.375</v>
      </c>
      <c r="F21" s="91">
        <f>SUM(B21:E21)</f>
        <v>27.225000000000001</v>
      </c>
      <c r="G21" s="52">
        <f t="shared" si="2"/>
        <v>2.6288605142543622E-2</v>
      </c>
    </row>
    <row r="22" spans="1:7" x14ac:dyDescent="0.35">
      <c r="A22" s="83" t="s">
        <v>74</v>
      </c>
      <c r="B22" s="92">
        <f>SUM(B13:B21)</f>
        <v>312.92</v>
      </c>
      <c r="C22" s="92">
        <f>SUM(C13:C21)</f>
        <v>358.85000000000008</v>
      </c>
      <c r="D22" s="92">
        <f>SUM(D13:D21)</f>
        <v>186.47000000000003</v>
      </c>
      <c r="E22" s="92">
        <f>SUM(E13:E21)</f>
        <v>177.37979999999999</v>
      </c>
      <c r="F22" s="92">
        <f>SUM(B22:E22)</f>
        <v>1035.6198000000002</v>
      </c>
      <c r="G22" s="52">
        <f t="shared" si="2"/>
        <v>1</v>
      </c>
    </row>
    <row r="23" spans="1:7" x14ac:dyDescent="0.35">
      <c r="A23" s="83" t="s">
        <v>147</v>
      </c>
      <c r="B23" s="93">
        <f>B22/$F$22</f>
        <v>0.30215722024627178</v>
      </c>
      <c r="C23" s="93">
        <f t="shared" ref="C23:F23" si="3">C22/$F$22</f>
        <v>0.34650747310933994</v>
      </c>
      <c r="D23" s="93">
        <f t="shared" si="3"/>
        <v>0.18005642611313533</v>
      </c>
      <c r="E23" s="93">
        <f t="shared" si="3"/>
        <v>0.17127888053125284</v>
      </c>
      <c r="F23" s="93">
        <f t="shared" si="3"/>
        <v>1</v>
      </c>
      <c r="G23" s="52"/>
    </row>
    <row r="25" spans="1:7" ht="26.5" customHeight="1" x14ac:dyDescent="0.35"/>
  </sheetData>
  <mergeCells count="1"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6E1AAD3126A45AE3E3211CF3D4416" ma:contentTypeVersion="18" ma:contentTypeDescription="Opprett et nytt dokument." ma:contentTypeScope="" ma:versionID="cb5c062844f7f1103c9943a7caec8338">
  <xsd:schema xmlns:xsd="http://www.w3.org/2001/XMLSchema" xmlns:xs="http://www.w3.org/2001/XMLSchema" xmlns:p="http://schemas.microsoft.com/office/2006/metadata/properties" xmlns:ns2="a32a7c1e-c8cf-4074-b924-345c804dba5b" xmlns:ns3="8b879abb-bf24-43db-bde3-2ecca6dcd805" targetNamespace="http://schemas.microsoft.com/office/2006/metadata/properties" ma:root="true" ma:fieldsID="d143db7de61d95b580bc6a693c63f0a4" ns2:_="" ns3:_="">
    <xsd:import namespace="a32a7c1e-c8cf-4074-b924-345c804dba5b"/>
    <xsd:import namespace="8b879abb-bf24-43db-bde3-2ecca6dcd8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7c1e-c8cf-4074-b924-345c804db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9abb-bf24-43db-bde3-2ecca6dcd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5205281-685f-4506-85b4-b2f509761962}" ma:internalName="TaxCatchAll" ma:showField="CatchAllData" ma:web="8b879abb-bf24-43db-bde3-2ecca6dcd8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879abb-bf24-43db-bde3-2ecca6dcd805" xsi:nil="true"/>
    <lcf76f155ced4ddcb4097134ff3c332f xmlns="a32a7c1e-c8cf-4074-b924-345c804dba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FAC0B4-97B9-4C13-A93E-66CF60B2E1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9892F5-25BF-4BC2-9928-7D50873C6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a7c1e-c8cf-4074-b924-345c804dba5b"/>
    <ds:schemaRef ds:uri="8b879abb-bf24-43db-bde3-2ecca6dcd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6F58B-7A2D-4DB4-9DFD-C732C5D117A7}">
  <ds:schemaRefs>
    <ds:schemaRef ds:uri="http://purl.org/dc/terms/"/>
    <ds:schemaRef ds:uri="http://purl.org/dc/dcmitype/"/>
    <ds:schemaRef ds:uri="http://schemas.microsoft.com/office/2006/metadata/properties"/>
    <ds:schemaRef ds:uri="8b879abb-bf24-43db-bde3-2ecca6dcd805"/>
    <ds:schemaRef ds:uri="http://schemas.openxmlformats.org/package/2006/metadata/core-properties"/>
    <ds:schemaRef ds:uri="http://purl.org/dc/elements/1.1/"/>
    <ds:schemaRef ds:uri="a32a7c1e-c8cf-4074-b924-345c804dba5b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VEILEDNING</vt:lpstr>
      <vt:lpstr>INNTEKTER</vt:lpstr>
      <vt:lpstr>DIREKTE KOSTNADER FAK</vt:lpstr>
      <vt:lpstr>indirekte kostnader</vt:lpstr>
      <vt:lpstr>RESULTAT</vt:lpstr>
      <vt:lpstr>Stillingskategori og FoU-tid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Elisabeth Njå</dc:creator>
  <cp:lastModifiedBy>Kristin Straume Vivoll</cp:lastModifiedBy>
  <dcterms:created xsi:type="dcterms:W3CDTF">2025-12-18T14:01:44Z</dcterms:created>
  <dcterms:modified xsi:type="dcterms:W3CDTF">2026-03-13T20:32:46Z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0x010100C046E1AAD3126A45AE3E3211CF3D4416</vt:lpwstr>
  </property>
  <property fmtid="{D5CDD505-2E9C-101B-9397-08002B2CF9AE}" pid="3" name="MediaServiceImageTags">
    <vt:lpwstr/>
  </property>
</Properties>
</file>