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hioa365-my.sharepoint.com/personal/anneber_oslomet_no/Documents/Publisert i 2023/"/>
    </mc:Choice>
  </mc:AlternateContent>
  <xr:revisionPtr revIDLastSave="0" documentId="8_{B1503735-2EE0-41DD-B833-1FCA3DDD5987}" xr6:coauthVersionLast="47" xr6:coauthVersionMax="47" xr10:uidLastSave="{00000000-0000-0000-0000-000000000000}"/>
  <bookViews>
    <workbookView xWindow="28680" yWindow="-120" windowWidth="29040" windowHeight="17640" firstSheet="2" activeTab="2" xr2:uid="{00000000-000D-0000-FFFF-FFFF00000000}"/>
  </bookViews>
  <sheets>
    <sheet name="Årslønn" sheetId="1" state="hidden" r:id="rId1"/>
    <sheet name="Salgspris timer" sheetId="11" state="hidden" r:id="rId2"/>
    <sheet name="Avtale internt salg" sheetId="12" r:id="rId3"/>
    <sheet name="Lønnstabell" sheetId="2" state="hidden" r:id="rId4"/>
    <sheet name="div satser" sheetId="9" state="hidden" r:id="rId5"/>
  </sheets>
  <definedNames>
    <definedName name="_xlnm.Print_Area" localSheetId="2">'Avtale internt salg'!$A$1:$Q$41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2" l="1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Q25" i="12" l="1"/>
  <c r="Q26" i="12"/>
  <c r="H16" i="12" l="1"/>
  <c r="E16" i="12"/>
  <c r="F16" i="12" s="1"/>
  <c r="G16" i="12" s="1"/>
  <c r="D16" i="12"/>
  <c r="C8" i="11"/>
  <c r="J8" i="11" s="1"/>
  <c r="K8" i="11" s="1"/>
  <c r="G10" i="11"/>
  <c r="D10" i="11"/>
  <c r="E10" i="11" s="1"/>
  <c r="F10" i="11" s="1"/>
  <c r="I10" i="11" s="1"/>
  <c r="C10" i="11"/>
  <c r="J10" i="11" s="1"/>
  <c r="K10" i="11" s="1"/>
  <c r="G9" i="11"/>
  <c r="D9" i="11"/>
  <c r="E9" i="11" s="1"/>
  <c r="C9" i="11"/>
  <c r="J9" i="11" s="1"/>
  <c r="K9" i="11" s="1"/>
  <c r="D8" i="11"/>
  <c r="E8" i="11" s="1"/>
  <c r="F8" i="11" s="1"/>
  <c r="I8" i="11" s="1"/>
  <c r="G8" i="11"/>
  <c r="J9" i="1"/>
  <c r="G9" i="1"/>
  <c r="H9" i="1" s="1"/>
  <c r="F9" i="1"/>
  <c r="M9" i="1" s="1"/>
  <c r="N9" i="1" s="1"/>
  <c r="G7" i="1"/>
  <c r="I7" i="1" s="1"/>
  <c r="J7" i="1"/>
  <c r="G8" i="1"/>
  <c r="I8" i="1" s="1"/>
  <c r="L8" i="1" s="1"/>
  <c r="F7" i="1"/>
  <c r="M7" i="1" s="1"/>
  <c r="N7" i="1" s="1"/>
  <c r="F8" i="1"/>
  <c r="M8" i="1" s="1"/>
  <c r="N8" i="1" s="1"/>
  <c r="J8" i="1"/>
  <c r="K16" i="12" l="1"/>
  <c r="L16" i="12" s="1"/>
  <c r="H8" i="11"/>
  <c r="L8" i="11" s="1"/>
  <c r="M8" i="11" s="1"/>
  <c r="N8" i="11" s="1"/>
  <c r="O8" i="11" s="1"/>
  <c r="H8" i="1"/>
  <c r="K8" i="1" s="1"/>
  <c r="H10" i="11"/>
  <c r="L10" i="11" s="1"/>
  <c r="M10" i="11" s="1"/>
  <c r="H7" i="1"/>
  <c r="K7" i="1" s="1"/>
  <c r="L7" i="1"/>
  <c r="F9" i="11"/>
  <c r="I9" i="11" s="1"/>
  <c r="H9" i="11"/>
  <c r="K9" i="1"/>
  <c r="I9" i="1"/>
  <c r="L9" i="1" s="1"/>
  <c r="I16" i="12"/>
  <c r="J16" i="12"/>
  <c r="O8" i="1" l="1"/>
  <c r="O7" i="1"/>
  <c r="N10" i="11"/>
  <c r="O10" i="11" s="1"/>
  <c r="O9" i="1"/>
  <c r="L9" i="11"/>
  <c r="M9" i="11" s="1"/>
  <c r="M16" i="12"/>
  <c r="N16" i="12" s="1"/>
  <c r="Q16" i="12" l="1"/>
  <c r="N9" i="11"/>
  <c r="O9" i="11" s="1"/>
  <c r="Q18" i="12" l="1"/>
  <c r="Q20" i="12"/>
  <c r="Q22" i="12" l="1"/>
  <c r="Q28" i="12" s="1"/>
  <c r="Q33" i="12" s="1"/>
</calcChain>
</file>

<file path=xl/sharedStrings.xml><?xml version="1.0" encoding="utf-8"?>
<sst xmlns="http://schemas.openxmlformats.org/spreadsheetml/2006/main" count="102" uniqueCount="78">
  <si>
    <t>Navn</t>
  </si>
  <si>
    <t>St.and.</t>
  </si>
  <si>
    <t>Brutto årslønn</t>
  </si>
  <si>
    <t>Brutto årslønn -OU</t>
  </si>
  <si>
    <t xml:space="preserve">  Brutto-</t>
  </si>
  <si>
    <t xml:space="preserve">  Pr. år</t>
  </si>
  <si>
    <t xml:space="preserve">   Pr. år</t>
  </si>
  <si>
    <t>Antall timer</t>
  </si>
  <si>
    <t>Arbeidsgiveravgift</t>
  </si>
  <si>
    <t>Gruppeliv</t>
  </si>
  <si>
    <t>Feriepenger</t>
  </si>
  <si>
    <t>Pensjon</t>
  </si>
  <si>
    <t xml:space="preserve">Sum lønnsutgifter </t>
  </si>
  <si>
    <t>Årslønn</t>
  </si>
  <si>
    <t>Pensjon arbeidsgiver</t>
  </si>
  <si>
    <t xml:space="preserve"> </t>
  </si>
  <si>
    <t xml:space="preserve">Fast lønn konto </t>
  </si>
  <si>
    <t>Feriepenger konto</t>
  </si>
  <si>
    <t>Pensjon arb.giver andel</t>
  </si>
  <si>
    <t xml:space="preserve">Gruppelivs
premie </t>
  </si>
  <si>
    <t>Lønns-</t>
  </si>
  <si>
    <t>trinn</t>
  </si>
  <si>
    <t>Trinn (19 - 101)</t>
  </si>
  <si>
    <t>Normann Kari</t>
  </si>
  <si>
    <t>Normann Ola</t>
  </si>
  <si>
    <t>Normann Åse</t>
  </si>
  <si>
    <t>ant mnd *)</t>
  </si>
  <si>
    <t>ant lønnsmnd *)</t>
  </si>
  <si>
    <t>Salgspris timer (uten indirekte kostnader) basert på 1628 produktive timer</t>
  </si>
  <si>
    <t xml:space="preserve">Arb.giveravg av fast lønn </t>
  </si>
  <si>
    <t xml:space="preserve">Arb.giveravg av feriepenger </t>
  </si>
  <si>
    <t xml:space="preserve">Arb.giveravg av pensjon arb.giver </t>
  </si>
  <si>
    <t>Brukes til å beregne kostnader i forbindelse med salg av tjenester; internt og eksternt</t>
  </si>
  <si>
    <t>Arb.giveravg av feriepenger</t>
  </si>
  <si>
    <t>Arb.giveravg av pensjon arb.giver</t>
  </si>
  <si>
    <t xml:space="preserve">Årsverks-kostnad </t>
  </si>
  <si>
    <t>Lønnstrinn           (19 - 101)</t>
  </si>
  <si>
    <t>Salgskostnad</t>
  </si>
  <si>
    <t>Andre indirekte kostnader, gjelder særlig SVA</t>
  </si>
  <si>
    <t>Påslag for personalforvaltning, indirekte kostnad</t>
  </si>
  <si>
    <t>Avtale mellom &lt;enhet&gt; og &lt;enhet&gt; om salg av arbeidskraft.</t>
  </si>
  <si>
    <t>Oppdraget gjelder:</t>
  </si>
  <si>
    <t>Timepris</t>
  </si>
  <si>
    <t>Lønnstrinn</t>
  </si>
  <si>
    <t>Overtid 50% eller 100%</t>
  </si>
  <si>
    <t>Avtalt timepris</t>
  </si>
  <si>
    <t>Salgskostnad pr time, basert på 1628 timer</t>
  </si>
  <si>
    <t>Arbeidstidskostnad</t>
  </si>
  <si>
    <t>Direkte kostnader</t>
  </si>
  <si>
    <t>Beskrivelse hva det gjelder</t>
  </si>
  <si>
    <t>Påslag for personalforvaltning</t>
  </si>
  <si>
    <t>sett kryss:</t>
  </si>
  <si>
    <t>Sum avtalepris</t>
  </si>
  <si>
    <t>Underskrift</t>
  </si>
  <si>
    <t>(underskrives av personer med budsjettdisponeringsfullmakt)</t>
  </si>
  <si>
    <t>For kjøper</t>
  </si>
  <si>
    <t>For selger</t>
  </si>
  <si>
    <t>x</t>
  </si>
  <si>
    <t>Lønnskostnad</t>
  </si>
  <si>
    <t>Påslag leiestedskostnader (gjelder kun SVA):</t>
  </si>
  <si>
    <t>Timepris lønn</t>
  </si>
  <si>
    <t>Antall timer (når timeantall er avtalt)</t>
  </si>
  <si>
    <t>Stillingsandel (når prosentvis andel av stilling er avtalt)</t>
  </si>
  <si>
    <r>
      <t xml:space="preserve">Gule felter skal fylles ut. For antall timer skal </t>
    </r>
    <r>
      <rPr>
        <b/>
        <i/>
        <sz val="11"/>
        <rFont val="Arial"/>
        <family val="2"/>
      </rPr>
      <t>enten</t>
    </r>
    <r>
      <rPr>
        <sz val="11"/>
        <rFont val="Arial"/>
        <family val="2"/>
      </rPr>
      <t xml:space="preserve"> antall timer eller stillingsandel fylles ut.</t>
    </r>
  </si>
  <si>
    <r>
      <rPr>
        <vertAlign val="superscript"/>
        <sz val="10"/>
        <color theme="1"/>
        <rFont val="Calibri"/>
        <family val="2"/>
        <scheme val="minor"/>
      </rPr>
      <t xml:space="preserve">1 </t>
    </r>
    <r>
      <rPr>
        <sz val="10"/>
        <rFont val="Arial"/>
      </rPr>
      <t>Det skal trekkes kr 400,- pr. år i OU-midler av bruttolønn pr. år. Bruttolønn kan inkludere mer enn bruttolønn etter hovedlønnstabellen, for eksempel kronetillegg gitt i lokale forhandlinger og kronetillegg som tidligere ble gitt som B-tillegg. Pensjonsinnskudd er 2 pst av bruttolønn opp til 12*folketrygdens grunnbeløp. For høyere bruttolønn beregnes 2 pst pensjonsinnskudd av 12*folketrygdens grunnbeløp.                                                                                     Nettolønn er bruttolønn etter fratrekk for OU-midler og pensjonsinnskudd.                                               Overtidsgodtgjørelse beregnes ut fra bruttolønn som deles på 1850 og multipliseres med 1,5 (50%) og 2 (100%).                                                                       Nattidskompensasjon beregnes ut i fra bruttolønn som deles på 1850 og multipliseres med 0,45 (45%).</t>
    </r>
  </si>
  <si>
    <r>
      <t>HOVEDLØNNSTABELL LO STAT, UNIO OG YS STAT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</si>
  <si>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DET KGL. KOMMUNAL- OG MODERNISERINGSDEPARTEMENT</t>
  </si>
  <si>
    <t xml:space="preserve">       Bruttolønn - OU</t>
  </si>
  <si>
    <t xml:space="preserve">   lønn</t>
  </si>
  <si>
    <t>Avtale om internoppdrag ved OsloMet</t>
  </si>
  <si>
    <t>Lønnstabell pr 01.05.21</t>
  </si>
  <si>
    <t>Oppdatert med nye satser pr 01.01.22</t>
  </si>
  <si>
    <t>Nye satser pr 01.01.22</t>
  </si>
  <si>
    <t>Satser oppdatert med satser pr.01.01.22</t>
  </si>
  <si>
    <t>Lønn for arbeidstakere i staten gjeldende fra 1. mai 2022</t>
  </si>
  <si>
    <t>Lønnstabell pr.01.05.22</t>
  </si>
  <si>
    <t>(Fastsatt 3. juli 2014, er under revidering)</t>
  </si>
  <si>
    <t>Oppdatert med satser for sosiale kostnader pr.01.01.23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</si>
</sst>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;&quot;kr&quot;\ \-#,##0"/>
    <numFmt numFmtId="165" formatCode="&quot;kr&quot;\ #,##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0"/>
      <name val="MS Sans Serif"/>
    </font>
    <font>
      <sz val="10"/>
      <name val="Calibri"/>
      <family val="2"/>
    </font>
    <font>
      <b/>
      <sz val="14"/>
      <name val="Times New Roman"/>
      <family val="1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2" fontId="0" fillId="0" borderId="0" xfId="0" applyNumberFormat="1"/>
    <xf numFmtId="0" fontId="3" fillId="0" borderId="0" xfId="0" applyFont="1"/>
    <xf numFmtId="10" fontId="0" fillId="0" borderId="0" xfId="0" applyNumberFormat="1"/>
    <xf numFmtId="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5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" fontId="0" fillId="0" borderId="0" xfId="0" applyNumberFormat="1"/>
    <xf numFmtId="0" fontId="8" fillId="0" borderId="2" xfId="0" applyFont="1" applyBorder="1"/>
    <xf numFmtId="3" fontId="8" fillId="0" borderId="3" xfId="0" applyNumberFormat="1" applyFont="1" applyBorder="1" applyAlignment="1" applyProtection="1">
      <alignment horizontal="center"/>
      <protection locked="0"/>
    </xf>
    <xf numFmtId="3" fontId="8" fillId="0" borderId="4" xfId="0" applyNumberFormat="1" applyFont="1" applyBorder="1"/>
    <xf numFmtId="0" fontId="8" fillId="0" borderId="2" xfId="0" applyFont="1" applyBorder="1" applyAlignment="1">
      <alignment horizontal="left"/>
    </xf>
    <xf numFmtId="3" fontId="8" fillId="0" borderId="5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 applyProtection="1">
      <alignment horizontal="left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8" fillId="0" borderId="8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8" fillId="0" borderId="9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/>
    <xf numFmtId="0" fontId="2" fillId="0" borderId="0" xfId="0" applyFont="1"/>
    <xf numFmtId="0" fontId="2" fillId="0" borderId="12" xfId="0" applyFont="1" applyBorder="1"/>
    <xf numFmtId="0" fontId="2" fillId="0" borderId="13" xfId="0" applyFont="1" applyBorder="1"/>
    <xf numFmtId="3" fontId="0" fillId="0" borderId="14" xfId="0" applyNumberFormat="1" applyBorder="1"/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3" fontId="0" fillId="0" borderId="19" xfId="0" applyNumberFormat="1" applyBorder="1"/>
    <xf numFmtId="0" fontId="0" fillId="0" borderId="19" xfId="0" applyBorder="1"/>
    <xf numFmtId="0" fontId="0" fillId="0" borderId="20" xfId="0" applyBorder="1"/>
    <xf numFmtId="3" fontId="4" fillId="0" borderId="21" xfId="0" applyNumberFormat="1" applyFont="1" applyBorder="1"/>
    <xf numFmtId="0" fontId="4" fillId="0" borderId="21" xfId="0" applyFont="1" applyBorder="1"/>
    <xf numFmtId="0" fontId="4" fillId="0" borderId="22" xfId="0" applyFont="1" applyBorder="1"/>
    <xf numFmtId="3" fontId="0" fillId="0" borderId="9" xfId="0" applyNumberFormat="1" applyBorder="1"/>
    <xf numFmtId="3" fontId="0" fillId="0" borderId="20" xfId="0" applyNumberFormat="1" applyBorder="1"/>
    <xf numFmtId="0" fontId="0" fillId="2" borderId="14" xfId="0" applyFill="1" applyBorder="1"/>
    <xf numFmtId="0" fontId="0" fillId="2" borderId="1" xfId="0" applyFill="1" applyBorder="1"/>
    <xf numFmtId="0" fontId="0" fillId="2" borderId="8" xfId="0" applyFill="1" applyBorder="1"/>
    <xf numFmtId="3" fontId="2" fillId="0" borderId="23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0" fontId="5" fillId="0" borderId="18" xfId="0" applyFont="1" applyBorder="1" applyAlignment="1">
      <alignment vertical="center" wrapText="1"/>
    </xf>
    <xf numFmtId="4" fontId="0" fillId="0" borderId="24" xfId="0" applyNumberFormat="1" applyBorder="1"/>
    <xf numFmtId="4" fontId="0" fillId="0" borderId="25" xfId="0" applyNumberFormat="1" applyBorder="1"/>
    <xf numFmtId="4" fontId="0" fillId="0" borderId="21" xfId="0" applyNumberFormat="1" applyBorder="1"/>
    <xf numFmtId="0" fontId="5" fillId="0" borderId="16" xfId="0" applyFont="1" applyBorder="1" applyAlignment="1">
      <alignment vertical="center" wrapText="1"/>
    </xf>
    <xf numFmtId="165" fontId="12" fillId="0" borderId="1" xfId="2" applyNumberFormat="1" applyFont="1" applyBorder="1" applyAlignment="1">
      <alignment horizontal="right"/>
    </xf>
    <xf numFmtId="165" fontId="12" fillId="0" borderId="31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164" fontId="13" fillId="0" borderId="0" xfId="0" applyNumberFormat="1" applyFont="1"/>
    <xf numFmtId="165" fontId="12" fillId="0" borderId="28" xfId="2" applyNumberFormat="1" applyFont="1" applyBorder="1" applyAlignment="1">
      <alignment horizontal="right"/>
    </xf>
    <xf numFmtId="0" fontId="15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27" xfId="0" applyFont="1" applyBorder="1" applyProtection="1">
      <protection locked="0"/>
    </xf>
    <xf numFmtId="0" fontId="13" fillId="2" borderId="1" xfId="0" applyFont="1" applyFill="1" applyBorder="1" applyProtection="1">
      <protection locked="0"/>
    </xf>
    <xf numFmtId="3" fontId="13" fillId="0" borderId="0" xfId="0" applyNumberFormat="1" applyFont="1" applyProtection="1">
      <protection locked="0"/>
    </xf>
    <xf numFmtId="4" fontId="12" fillId="0" borderId="0" xfId="0" applyNumberFormat="1" applyFont="1" applyProtection="1">
      <protection locked="0"/>
    </xf>
    <xf numFmtId="9" fontId="13" fillId="0" borderId="0" xfId="0" applyNumberFormat="1" applyFont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9" xfId="0" applyFont="1" applyBorder="1" applyProtection="1">
      <protection locked="0"/>
    </xf>
    <xf numFmtId="3" fontId="12" fillId="0" borderId="29" xfId="0" applyNumberFormat="1" applyFont="1" applyBorder="1" applyProtection="1">
      <protection locked="0"/>
    </xf>
    <xf numFmtId="4" fontId="12" fillId="0" borderId="29" xfId="0" applyNumberFormat="1" applyFont="1" applyBorder="1" applyProtection="1">
      <protection locked="0"/>
    </xf>
    <xf numFmtId="0" fontId="12" fillId="0" borderId="27" xfId="0" applyFont="1" applyBorder="1" applyProtection="1">
      <protection locked="0"/>
    </xf>
    <xf numFmtId="3" fontId="12" fillId="0" borderId="0" xfId="0" applyNumberFormat="1" applyFont="1" applyProtection="1">
      <protection locked="0"/>
    </xf>
    <xf numFmtId="0" fontId="13" fillId="0" borderId="4" xfId="0" applyFont="1" applyBorder="1" applyProtection="1">
      <protection locked="0"/>
    </xf>
    <xf numFmtId="0" fontId="13" fillId="0" borderId="26" xfId="0" applyFont="1" applyBorder="1" applyProtection="1">
      <protection locked="0"/>
    </xf>
    <xf numFmtId="3" fontId="13" fillId="0" borderId="26" xfId="0" applyNumberFormat="1" applyFont="1" applyBorder="1" applyProtection="1">
      <protection locked="0"/>
    </xf>
    <xf numFmtId="4" fontId="12" fillId="0" borderId="26" xfId="0" applyNumberFormat="1" applyFont="1" applyBorder="1" applyProtection="1"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0" borderId="9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3" fontId="13" fillId="0" borderId="10" xfId="0" applyNumberFormat="1" applyFont="1" applyBorder="1" applyProtection="1">
      <protection locked="0"/>
    </xf>
    <xf numFmtId="4" fontId="12" fillId="0" borderId="10" xfId="0" applyNumberFormat="1" applyFont="1" applyBorder="1" applyProtection="1">
      <protection locked="0"/>
    </xf>
    <xf numFmtId="9" fontId="13" fillId="2" borderId="1" xfId="3" applyFont="1" applyFill="1" applyBorder="1" applyProtection="1">
      <protection locked="0"/>
    </xf>
    <xf numFmtId="0" fontId="12" fillId="3" borderId="19" xfId="0" applyFont="1" applyFill="1" applyBorder="1" applyProtection="1">
      <protection locked="0"/>
    </xf>
    <xf numFmtId="0" fontId="12" fillId="3" borderId="29" xfId="0" applyFont="1" applyFill="1" applyBorder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29" xfId="0" applyFont="1" applyBorder="1" applyProtection="1">
      <protection locked="0"/>
    </xf>
    <xf numFmtId="164" fontId="12" fillId="2" borderId="1" xfId="0" applyNumberFormat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13" fillId="4" borderId="29" xfId="0" applyFont="1" applyFill="1" applyBorder="1" applyProtection="1">
      <protection locked="0"/>
    </xf>
    <xf numFmtId="0" fontId="14" fillId="0" borderId="0" xfId="0" applyFont="1" applyProtection="1">
      <protection locked="0"/>
    </xf>
    <xf numFmtId="164" fontId="12" fillId="0" borderId="32" xfId="0" applyNumberFormat="1" applyFont="1" applyBorder="1"/>
    <xf numFmtId="0" fontId="13" fillId="0" borderId="28" xfId="0" applyFont="1" applyBorder="1"/>
    <xf numFmtId="164" fontId="12" fillId="0" borderId="1" xfId="0" applyNumberFormat="1" applyFont="1" applyBorder="1"/>
    <xf numFmtId="164" fontId="12" fillId="3" borderId="1" xfId="0" applyNumberFormat="1" applyFont="1" applyFill="1" applyBorder="1"/>
    <xf numFmtId="164" fontId="12" fillId="4" borderId="1" xfId="0" applyNumberFormat="1" applyFont="1" applyFill="1" applyBorder="1"/>
    <xf numFmtId="3" fontId="4" fillId="0" borderId="23" xfId="0" applyNumberFormat="1" applyFont="1" applyBorder="1"/>
    <xf numFmtId="3" fontId="4" fillId="0" borderId="22" xfId="0" applyNumberFormat="1" applyFont="1" applyBorder="1"/>
    <xf numFmtId="0" fontId="5" fillId="0" borderId="35" xfId="0" applyFont="1" applyBorder="1" applyAlignment="1">
      <alignment vertical="top" wrapText="1"/>
    </xf>
    <xf numFmtId="0" fontId="2" fillId="2" borderId="0" xfId="0" applyFont="1" applyFill="1"/>
    <xf numFmtId="0" fontId="0" fillId="2" borderId="0" xfId="0" applyFill="1"/>
    <xf numFmtId="1" fontId="17" fillId="0" borderId="5" xfId="0" applyNumberFormat="1" applyFont="1" applyBorder="1" applyAlignment="1" applyProtection="1">
      <alignment horizontal="center"/>
      <protection locked="0"/>
    </xf>
    <xf numFmtId="38" fontId="17" fillId="0" borderId="0" xfId="0" applyNumberFormat="1" applyFont="1" applyAlignment="1">
      <alignment horizontal="center"/>
    </xf>
    <xf numFmtId="38" fontId="17" fillId="0" borderId="10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22" fillId="0" borderId="10" xfId="0" applyFont="1" applyBorder="1"/>
    <xf numFmtId="3" fontId="0" fillId="0" borderId="10" xfId="0" applyNumberFormat="1" applyBorder="1"/>
    <xf numFmtId="0" fontId="0" fillId="0" borderId="10" xfId="0" applyBorder="1"/>
    <xf numFmtId="2" fontId="18" fillId="0" borderId="0" xfId="0" applyNumberFormat="1" applyFont="1" applyProtection="1">
      <protection locked="0"/>
    </xf>
    <xf numFmtId="2" fontId="18" fillId="0" borderId="10" xfId="0" applyNumberFormat="1" applyFont="1" applyBorder="1" applyProtection="1">
      <protection locked="0"/>
    </xf>
    <xf numFmtId="3" fontId="23" fillId="0" borderId="0" xfId="0" applyNumberFormat="1" applyFont="1"/>
    <xf numFmtId="9" fontId="13" fillId="2" borderId="9" xfId="0" applyNumberFormat="1" applyFont="1" applyFill="1" applyBorder="1" applyAlignment="1" applyProtection="1">
      <alignment horizontal="center"/>
      <protection locked="0"/>
    </xf>
    <xf numFmtId="9" fontId="13" fillId="2" borderId="32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3 2" xfId="5" xr:uid="{00000000-0005-0000-0000-000004000000}"/>
    <cellStyle name="Normal 4" xfId="4" xr:uid="{00000000-0005-0000-0000-000005000000}"/>
    <cellStyle name="Pros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17</xdr:row>
      <xdr:rowOff>28574</xdr:rowOff>
    </xdr:from>
    <xdr:ext cx="10851889" cy="188381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" y="3762374"/>
          <a:ext cx="10839450" cy="18764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500" b="1"/>
            <a:t>*) </a:t>
          </a:r>
          <a:r>
            <a:rPr lang="nb-NO" sz="1500"/>
            <a:t> </a:t>
          </a:r>
          <a:r>
            <a:rPr lang="nb-NO" sz="1500" b="1"/>
            <a:t>Feltene "ant mnd" og "ant lønnsmnd" må fylles ut</a:t>
          </a:r>
        </a:p>
        <a:p>
          <a:endParaRPr lang="nb-NO" sz="1500"/>
        </a:p>
        <a:p>
          <a:r>
            <a:rPr lang="nb-NO" sz="1500" b="1"/>
            <a:t>Eks. </a:t>
          </a:r>
        </a:p>
        <a:p>
          <a:r>
            <a:rPr lang="nb-NO" sz="1500" b="1"/>
            <a:t>Kari arbeider januar tom mai - antall måneder blir da 5 og antall lønnsmåneder 5.</a:t>
          </a:r>
        </a:p>
        <a:p>
          <a:r>
            <a:rPr lang="nb-NO" sz="1500" b="1"/>
            <a:t>Ola arbeider januar tom</a:t>
          </a:r>
          <a:r>
            <a:rPr lang="nb-NO" sz="1500" b="1" baseline="0"/>
            <a:t> august - antall måneder blir da 8 og antall lønnsmåneder blir 6,85 (dette forutsettes at han avvikler ferie før utgangen av august)</a:t>
          </a:r>
        </a:p>
        <a:p>
          <a:r>
            <a:rPr lang="nb-NO" sz="1500" b="1"/>
            <a:t>Åse arbeider januar tom desember - antall måneder blir da 12 og ant lønnsmåneder blir 10,85</a:t>
          </a:r>
          <a:r>
            <a:rPr lang="nb-NO" sz="1500"/>
            <a:t>.</a:t>
          </a:r>
        </a:p>
        <a:p>
          <a:endParaRPr lang="nb-NO" sz="1500"/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28574</xdr:colOff>
      <xdr:row>6</xdr:row>
      <xdr:rowOff>47624</xdr:rowOff>
    </xdr:from>
    <xdr:ext cx="4981575" cy="90487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574" y="1104899"/>
          <a:ext cx="4981575" cy="904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Beskriv oppdraget - hvilken person det gjelder og til hva, tidsperiode</a:t>
          </a:r>
          <a:r>
            <a:rPr lang="nb-NO" sz="1100" baseline="0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for gjennomføring av oppdraget, inkludert om oppdraget skal gjennomføres ut over ordinær arbeidsplan, dvs som overtid.</a:t>
          </a:r>
          <a:endParaRPr lang="nb-NO" sz="1100">
            <a:solidFill>
              <a:schemeClr val="bg1">
                <a:lumMod val="6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6"/>
  <sheetViews>
    <sheetView zoomScaleNormal="100" workbookViewId="0">
      <selection activeCell="F7" sqref="F7"/>
    </sheetView>
  </sheetViews>
  <sheetFormatPr baseColWidth="10" defaultColWidth="11.42578125" defaultRowHeight="12.75" x14ac:dyDescent="0.2"/>
  <cols>
    <col min="1" max="1" width="22.5703125" customWidth="1"/>
    <col min="2" max="2" width="6.5703125" style="1" customWidth="1"/>
    <col min="3" max="3" width="5.42578125" customWidth="1"/>
    <col min="4" max="4" width="5.85546875" customWidth="1"/>
    <col min="5" max="5" width="5.5703125" customWidth="1"/>
    <col min="6" max="6" width="13.42578125" customWidth="1"/>
    <col min="7" max="7" width="14.42578125" customWidth="1"/>
    <col min="8" max="8" width="10.85546875" customWidth="1"/>
  </cols>
  <sheetData>
    <row r="2" spans="1:15" ht="19.5" x14ac:dyDescent="0.3">
      <c r="A2" s="4" t="s">
        <v>13</v>
      </c>
    </row>
    <row r="4" spans="1:15" x14ac:dyDescent="0.2">
      <c r="L4" t="s">
        <v>70</v>
      </c>
    </row>
    <row r="5" spans="1:15" ht="13.5" thickBot="1" x14ac:dyDescent="0.25">
      <c r="L5" s="36" t="s">
        <v>71</v>
      </c>
    </row>
    <row r="6" spans="1:15" s="11" customFormat="1" ht="48.75" thickBot="1" x14ac:dyDescent="0.25">
      <c r="A6" s="40" t="s">
        <v>0</v>
      </c>
      <c r="B6" s="41" t="s">
        <v>1</v>
      </c>
      <c r="C6" s="41" t="s">
        <v>26</v>
      </c>
      <c r="D6" s="41" t="s">
        <v>27</v>
      </c>
      <c r="E6" s="41" t="s">
        <v>22</v>
      </c>
      <c r="F6" s="41" t="s">
        <v>2</v>
      </c>
      <c r="G6" s="41" t="s">
        <v>3</v>
      </c>
      <c r="H6" s="41" t="s">
        <v>16</v>
      </c>
      <c r="I6" s="41" t="s">
        <v>17</v>
      </c>
      <c r="J6" s="41" t="s">
        <v>19</v>
      </c>
      <c r="K6" s="41" t="s">
        <v>29</v>
      </c>
      <c r="L6" s="41" t="s">
        <v>33</v>
      </c>
      <c r="M6" s="41" t="s">
        <v>18</v>
      </c>
      <c r="N6" s="42" t="s">
        <v>34</v>
      </c>
      <c r="O6" s="43" t="s">
        <v>12</v>
      </c>
    </row>
    <row r="7" spans="1:15" ht="16.5" customHeight="1" x14ac:dyDescent="0.2">
      <c r="A7" s="31" t="s">
        <v>23</v>
      </c>
      <c r="B7" s="9">
        <v>100</v>
      </c>
      <c r="C7" s="53">
        <v>5</v>
      </c>
      <c r="D7" s="53">
        <v>5</v>
      </c>
      <c r="E7" s="53">
        <v>75</v>
      </c>
      <c r="F7" s="10">
        <f>VLOOKUP(E7,Lønnstabell!$A$8:$B$90,2)*B7/100</f>
        <v>728100</v>
      </c>
      <c r="G7" s="10">
        <f>VLOOKUP(E7,Lønnstabell!$A$8:$C$90,3)*B7/100</f>
        <v>727700</v>
      </c>
      <c r="H7" s="10">
        <f>G7/12*D7</f>
        <v>303208.33333333331</v>
      </c>
      <c r="I7" s="10">
        <f>G7/12*D7*'div satser'!$C$2</f>
        <v>36384.999999999993</v>
      </c>
      <c r="J7" s="10">
        <f>'div satser'!$C$4/12*C7</f>
        <v>512.91666666666663</v>
      </c>
      <c r="K7" s="10">
        <f>(H7+J7)*'div satser'!$C$3</f>
        <v>42824.696249999994</v>
      </c>
      <c r="L7" s="10">
        <f>I7*'div satser'!$C$3</f>
        <v>5130.284999999998</v>
      </c>
      <c r="M7" s="10">
        <f>(F7*'div satser'!$C$6)/12*C7</f>
        <v>35798.249999999993</v>
      </c>
      <c r="N7" s="44">
        <f>M7*'div satser'!$C$3</f>
        <v>5047.5532499999981</v>
      </c>
      <c r="O7" s="47">
        <f>SUM(H7:N7)</f>
        <v>428907.03449999995</v>
      </c>
    </row>
    <row r="8" spans="1:15" ht="16.5" customHeight="1" x14ac:dyDescent="0.2">
      <c r="A8" s="31" t="s">
        <v>24</v>
      </c>
      <c r="B8" s="9">
        <v>100</v>
      </c>
      <c r="C8" s="53">
        <v>8</v>
      </c>
      <c r="D8" s="53">
        <v>6.85</v>
      </c>
      <c r="E8" s="53">
        <v>70</v>
      </c>
      <c r="F8" s="10">
        <f>VLOOKUP(E8,Lønnstabell!$A$8:$B$90,2)*B8/100</f>
        <v>661400</v>
      </c>
      <c r="G8" s="10">
        <f>VLOOKUP(E8,Lønnstabell!$A$8:$C$90,3)*B8/100</f>
        <v>661000</v>
      </c>
      <c r="H8" s="10">
        <f>G8/12*D8</f>
        <v>377320.83333333331</v>
      </c>
      <c r="I8" s="10">
        <f>G8/12*D8*'div satser'!$C$2</f>
        <v>45278.499999999993</v>
      </c>
      <c r="J8" s="10">
        <f>'div satser'!$C$4/12*C8</f>
        <v>820.66666666666663</v>
      </c>
      <c r="K8" s="10">
        <f>(H8+J8)*'div satser'!$C$3</f>
        <v>53317.951499999996</v>
      </c>
      <c r="L8" s="10">
        <f>I8*'div satser'!$C$3</f>
        <v>6384.2684999999983</v>
      </c>
      <c r="M8" s="10">
        <f>(F8*'div satser'!$C$6)/12*C8</f>
        <v>52030.133333333331</v>
      </c>
      <c r="N8" s="44">
        <f>M8*'div satser'!$C$3</f>
        <v>7336.2487999999994</v>
      </c>
      <c r="O8" s="47">
        <f>SUM(H8:N8)</f>
        <v>542488.60213333322</v>
      </c>
    </row>
    <row r="9" spans="1:15" ht="16.5" customHeight="1" x14ac:dyDescent="0.2">
      <c r="A9" s="31" t="s">
        <v>25</v>
      </c>
      <c r="B9" s="9">
        <v>100</v>
      </c>
      <c r="C9" s="53">
        <v>12</v>
      </c>
      <c r="D9" s="53">
        <v>10.85</v>
      </c>
      <c r="E9" s="53">
        <v>65</v>
      </c>
      <c r="F9" s="10">
        <f>VLOOKUP(E9,Lønnstabell!$A$8:$B$90,2)*B9/100</f>
        <v>604400</v>
      </c>
      <c r="G9" s="10">
        <f>VLOOKUP(E9,Lønnstabell!$A$8:$C$90,3)*B9/100</f>
        <v>604000</v>
      </c>
      <c r="H9" s="10">
        <f>G9/12*D9</f>
        <v>546116.66666666663</v>
      </c>
      <c r="I9" s="10">
        <f>G9/12*D9*'div satser'!$C$2</f>
        <v>65533.999999999993</v>
      </c>
      <c r="J9" s="10">
        <f>'div satser'!$C$4/12*C9</f>
        <v>1231</v>
      </c>
      <c r="K9" s="10">
        <f>(H9+J9)*'div satser'!$C$3</f>
        <v>77176.020999999993</v>
      </c>
      <c r="L9" s="10">
        <f>I9*'div satser'!$C$3</f>
        <v>9240.2939999999981</v>
      </c>
      <c r="M9" s="10">
        <f>(F9*'div satser'!$C$6)/12*C9</f>
        <v>71319.199999999997</v>
      </c>
      <c r="N9" s="44">
        <f>M9*'div satser'!$C$3</f>
        <v>10056.007199999998</v>
      </c>
      <c r="O9" s="47">
        <f>SUM(H9:N9)</f>
        <v>780673.18886666652</v>
      </c>
    </row>
    <row r="10" spans="1:15" ht="16.5" customHeight="1" x14ac:dyDescent="0.2">
      <c r="A10" s="30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45"/>
      <c r="O10" s="48"/>
    </row>
    <row r="11" spans="1:15" ht="16.5" customHeight="1" x14ac:dyDescent="0.2">
      <c r="A11" s="30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5"/>
      <c r="O11" s="48"/>
    </row>
    <row r="12" spans="1:15" ht="16.5" customHeight="1" x14ac:dyDescent="0.2">
      <c r="A12" s="30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5"/>
      <c r="O12" s="48"/>
    </row>
    <row r="13" spans="1:15" ht="16.5" customHeight="1" x14ac:dyDescent="0.2">
      <c r="A13" s="30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5"/>
      <c r="O13" s="48"/>
    </row>
    <row r="14" spans="1:15" ht="16.5" customHeight="1" x14ac:dyDescent="0.2">
      <c r="A14" s="30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5"/>
      <c r="O14" s="48"/>
    </row>
    <row r="15" spans="1:15" ht="16.5" customHeight="1" thickBot="1" x14ac:dyDescent="0.25">
      <c r="A15" s="3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6"/>
      <c r="O15" s="49"/>
    </row>
    <row r="18" spans="1:2" x14ac:dyDescent="0.2">
      <c r="A18" s="13"/>
      <c r="B18" s="29"/>
    </row>
    <row r="20" spans="1:2" x14ac:dyDescent="0.2"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</sheetData>
  <phoneticPr fontId="0" type="noConversion"/>
  <pageMargins left="0.78740157499999996" right="0.78740157499999996" top="0.984251969" bottom="0.984251969" header="0.5" footer="0.5"/>
  <pageSetup paperSize="9" scale="91" fitToHeight="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7"/>
  <sheetViews>
    <sheetView zoomScaleNormal="100" workbookViewId="0">
      <selection activeCell="H8" sqref="H8"/>
    </sheetView>
  </sheetViews>
  <sheetFormatPr baseColWidth="10" defaultColWidth="11.42578125" defaultRowHeight="12.75" outlineLevelCol="1" x14ac:dyDescent="0.2"/>
  <cols>
    <col min="1" max="1" width="24.5703125" customWidth="1"/>
    <col min="2" max="2" width="10.42578125" customWidth="1"/>
    <col min="3" max="3" width="13.42578125" customWidth="1" outlineLevel="1"/>
    <col min="4" max="4" width="14.42578125" customWidth="1" outlineLevel="1"/>
    <col min="5" max="5" width="10.85546875" customWidth="1" outlineLevel="1"/>
    <col min="6" max="10" width="11.42578125" customWidth="1" outlineLevel="1"/>
    <col min="11" max="11" width="0.140625" customWidth="1" outlineLevel="1"/>
    <col min="12" max="12" width="14.5703125" customWidth="1"/>
    <col min="13" max="13" width="16.42578125" customWidth="1"/>
    <col min="14" max="14" width="17.85546875" customWidth="1"/>
    <col min="15" max="15" width="13.42578125" customWidth="1"/>
    <col min="16" max="16" width="15.5703125" customWidth="1"/>
  </cols>
  <sheetData>
    <row r="2" spans="1:16" ht="19.5" x14ac:dyDescent="0.3">
      <c r="A2" s="4" t="s">
        <v>28</v>
      </c>
    </row>
    <row r="3" spans="1:16" ht="26.25" customHeight="1" x14ac:dyDescent="0.2">
      <c r="A3" s="28" t="s">
        <v>32</v>
      </c>
    </row>
    <row r="4" spans="1:16" ht="15" customHeight="1" x14ac:dyDescent="0.2">
      <c r="A4" s="28"/>
      <c r="L4" t="s">
        <v>70</v>
      </c>
    </row>
    <row r="5" spans="1:16" ht="14.25" customHeight="1" x14ac:dyDescent="0.3">
      <c r="A5" s="4"/>
      <c r="L5" s="36" t="s">
        <v>72</v>
      </c>
    </row>
    <row r="6" spans="1:16" ht="9" customHeight="1" thickBot="1" x14ac:dyDescent="0.25">
      <c r="K6" s="36"/>
    </row>
    <row r="7" spans="1:16" s="11" customFormat="1" ht="51.75" customHeight="1" thickBot="1" x14ac:dyDescent="0.25">
      <c r="A7" s="40" t="s">
        <v>0</v>
      </c>
      <c r="B7" s="62" t="s">
        <v>36</v>
      </c>
      <c r="C7" s="41" t="s">
        <v>2</v>
      </c>
      <c r="D7" s="41" t="s">
        <v>3</v>
      </c>
      <c r="E7" s="41" t="s">
        <v>16</v>
      </c>
      <c r="F7" s="41" t="s">
        <v>17</v>
      </c>
      <c r="G7" s="41" t="s">
        <v>19</v>
      </c>
      <c r="H7" s="41" t="s">
        <v>29</v>
      </c>
      <c r="I7" s="41" t="s">
        <v>30</v>
      </c>
      <c r="J7" s="41" t="s">
        <v>18</v>
      </c>
      <c r="K7" s="42" t="s">
        <v>31</v>
      </c>
      <c r="L7" s="58" t="s">
        <v>35</v>
      </c>
      <c r="M7" s="43" t="s">
        <v>46</v>
      </c>
      <c r="N7" s="58" t="s">
        <v>39</v>
      </c>
      <c r="O7" s="58" t="s">
        <v>37</v>
      </c>
      <c r="P7" s="58" t="s">
        <v>38</v>
      </c>
    </row>
    <row r="8" spans="1:16" ht="16.5" customHeight="1" x14ac:dyDescent="0.2">
      <c r="A8" s="38" t="s">
        <v>23</v>
      </c>
      <c r="B8" s="52">
        <v>75</v>
      </c>
      <c r="C8" s="39">
        <f>VLOOKUP(B8,Lønnstabell!$A$8:$B$90,2)</f>
        <v>728100</v>
      </c>
      <c r="D8" s="39">
        <f>VLOOKUP(B8,Lønnstabell!$A$8:$C$90,3)</f>
        <v>727700</v>
      </c>
      <c r="E8" s="39">
        <f>D8/12*10.85</f>
        <v>657962.08333333326</v>
      </c>
      <c r="F8" s="39">
        <f>E8*'div satser'!$C$2</f>
        <v>78955.449999999983</v>
      </c>
      <c r="G8" s="39">
        <f>'div satser'!$C$4</f>
        <v>1231</v>
      </c>
      <c r="H8" s="39">
        <f>(E8+G8)*'div satser'!$C$3</f>
        <v>92946.224749999979</v>
      </c>
      <c r="I8" s="39">
        <f>F8*'div satser'!$C$3</f>
        <v>11132.718449999997</v>
      </c>
      <c r="J8" s="39">
        <f>(C8*'div satser'!$C$6)</f>
        <v>85915.799999999988</v>
      </c>
      <c r="K8" s="50">
        <f>J8*'div satser'!$C$3</f>
        <v>12114.127799999997</v>
      </c>
      <c r="L8" s="55">
        <f>SUM(E8:K8)</f>
        <v>940257.40433333314</v>
      </c>
      <c r="M8" s="105">
        <f>L8/1628</f>
        <v>577.55368816543807</v>
      </c>
      <c r="N8" s="59">
        <f>M8*0.1</f>
        <v>57.755368816543807</v>
      </c>
      <c r="O8" s="59">
        <f>M8+N8</f>
        <v>635.30905698198194</v>
      </c>
    </row>
    <row r="9" spans="1:16" ht="16.5" customHeight="1" x14ac:dyDescent="0.2">
      <c r="A9" s="31" t="s">
        <v>24</v>
      </c>
      <c r="B9" s="53">
        <v>70</v>
      </c>
      <c r="C9" s="10">
        <f>VLOOKUP(B9,Lønnstabell!$A$8:$B$90,2)</f>
        <v>661400</v>
      </c>
      <c r="D9" s="10">
        <f>VLOOKUP(B9,Lønnstabell!$A$8:$C$90,3)</f>
        <v>661000</v>
      </c>
      <c r="E9" s="10">
        <f>D9/12*10.85</f>
        <v>597654.16666666663</v>
      </c>
      <c r="F9" s="10">
        <f>E9*'div satser'!$C$2</f>
        <v>71718.499999999985</v>
      </c>
      <c r="G9" s="10">
        <f>'div satser'!$C$4</f>
        <v>1231</v>
      </c>
      <c r="H9" s="10">
        <f>(E9+G9)*'div satser'!$C$3</f>
        <v>84442.808499999985</v>
      </c>
      <c r="I9" s="10">
        <f>F9*'div satser'!$C$3</f>
        <v>10112.308499999997</v>
      </c>
      <c r="J9" s="10">
        <f>(C9*'div satser'!$C$6)</f>
        <v>78045.2</v>
      </c>
      <c r="K9" s="44">
        <f>J9*'div satser'!$C$3</f>
        <v>11004.373199999998</v>
      </c>
      <c r="L9" s="56">
        <f>SUM(E9:K9)</f>
        <v>854208.35686666658</v>
      </c>
      <c r="M9" s="47">
        <f>L9/1628</f>
        <v>524.69800790335785</v>
      </c>
      <c r="N9" s="61">
        <f>M9*0.1</f>
        <v>52.469800790335789</v>
      </c>
      <c r="O9" s="61">
        <f>M9+N9</f>
        <v>577.16780869369359</v>
      </c>
    </row>
    <row r="10" spans="1:16" ht="16.5" customHeight="1" thickBot="1" x14ac:dyDescent="0.25">
      <c r="A10" s="37" t="s">
        <v>25</v>
      </c>
      <c r="B10" s="54">
        <v>65</v>
      </c>
      <c r="C10" s="35">
        <f>VLOOKUP(B10,Lønnstabell!$A$8:$B$90,2)</f>
        <v>604400</v>
      </c>
      <c r="D10" s="35">
        <f>VLOOKUP(B10,Lønnstabell!$A$8:$C$90,3)</f>
        <v>604000</v>
      </c>
      <c r="E10" s="35">
        <f>D10/12*10.85</f>
        <v>546116.66666666663</v>
      </c>
      <c r="F10" s="35">
        <f>E10*'div satser'!$C$2</f>
        <v>65533.999999999993</v>
      </c>
      <c r="G10" s="35">
        <f>'div satser'!$C$4</f>
        <v>1231</v>
      </c>
      <c r="H10" s="35">
        <f>(E10+G10)*'div satser'!$C$3</f>
        <v>77176.020999999993</v>
      </c>
      <c r="I10" s="35">
        <f>F10*'div satser'!$C$3</f>
        <v>9240.2939999999981</v>
      </c>
      <c r="J10" s="35">
        <f>(C10*'div satser'!$C$6)</f>
        <v>71319.199999999997</v>
      </c>
      <c r="K10" s="51">
        <f>J10*'div satser'!$C$3</f>
        <v>10056.007199999998</v>
      </c>
      <c r="L10" s="57">
        <f>SUM(E10:K10)</f>
        <v>780673.18886666652</v>
      </c>
      <c r="M10" s="106">
        <f>L10/1628</f>
        <v>479.5289857903357</v>
      </c>
      <c r="N10" s="60">
        <f>M10*0.1</f>
        <v>47.952898579033572</v>
      </c>
      <c r="O10" s="60">
        <f>M10+N10</f>
        <v>527.48188436936925</v>
      </c>
    </row>
    <row r="11" spans="1:16" x14ac:dyDescent="0.2">
      <c r="A11" s="13"/>
    </row>
    <row r="17" spans="3:3" x14ac:dyDescent="0.2">
      <c r="C17" s="36" t="s">
        <v>15</v>
      </c>
    </row>
  </sheetData>
  <pageMargins left="0.78740157499999996" right="0.78740157499999996" top="0.984251969" bottom="0.984251969" header="0.5" footer="0.5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U41"/>
  <sheetViews>
    <sheetView tabSelected="1" zoomScaleNormal="100" workbookViewId="0">
      <selection activeCell="O1" sqref="O1:P3"/>
    </sheetView>
  </sheetViews>
  <sheetFormatPr baseColWidth="10" defaultColWidth="11.42578125" defaultRowHeight="14.25" outlineLevelCol="1" x14ac:dyDescent="0.2"/>
  <cols>
    <col min="1" max="1" width="18" style="69" customWidth="1"/>
    <col min="2" max="2" width="19.5703125" style="69" customWidth="1"/>
    <col min="3" max="3" width="10.5703125" style="69" bestFit="1" customWidth="1"/>
    <col min="4" max="13" width="11.42578125" style="69" hidden="1" customWidth="1" outlineLevel="1"/>
    <col min="14" max="14" width="11.5703125" style="69" customWidth="1" collapsed="1"/>
    <col min="15" max="15" width="5.5703125" style="69" customWidth="1"/>
    <col min="16" max="16" width="8.5703125" style="69" customWidth="1"/>
    <col min="17" max="17" width="13.42578125" style="69" customWidth="1"/>
    <col min="18" max="16384" width="11.42578125" style="69"/>
  </cols>
  <sheetData>
    <row r="2" spans="1:21" ht="20.25" x14ac:dyDescent="0.3">
      <c r="A2" s="68" t="s">
        <v>69</v>
      </c>
    </row>
    <row r="3" spans="1:21" x14ac:dyDescent="0.2">
      <c r="A3" s="69" t="s">
        <v>76</v>
      </c>
    </row>
    <row r="4" spans="1:21" x14ac:dyDescent="0.2">
      <c r="A4" s="69" t="s">
        <v>40</v>
      </c>
    </row>
    <row r="6" spans="1:21" ht="15" x14ac:dyDescent="0.25">
      <c r="A6" s="70" t="s">
        <v>41</v>
      </c>
    </row>
    <row r="13" spans="1:21" x14ac:dyDescent="0.2">
      <c r="O13" s="69" t="s">
        <v>75</v>
      </c>
    </row>
    <row r="14" spans="1:21" ht="15.75" thickBot="1" x14ac:dyDescent="0.3">
      <c r="A14" s="70" t="s">
        <v>47</v>
      </c>
      <c r="O14" s="69" t="s">
        <v>77</v>
      </c>
    </row>
    <row r="15" spans="1:21" ht="45" customHeight="1" thickBot="1" x14ac:dyDescent="0.25">
      <c r="A15" s="42"/>
      <c r="B15" s="107" t="s">
        <v>0</v>
      </c>
      <c r="C15" s="41" t="s">
        <v>43</v>
      </c>
      <c r="D15" s="41" t="s">
        <v>2</v>
      </c>
      <c r="E15" s="41" t="s">
        <v>3</v>
      </c>
      <c r="F15" s="41" t="s">
        <v>16</v>
      </c>
      <c r="G15" s="41" t="s">
        <v>17</v>
      </c>
      <c r="H15" s="41" t="s">
        <v>19</v>
      </c>
      <c r="I15" s="41" t="s">
        <v>29</v>
      </c>
      <c r="J15" s="41" t="s">
        <v>30</v>
      </c>
      <c r="K15" s="41" t="s">
        <v>18</v>
      </c>
      <c r="L15" s="42" t="s">
        <v>31</v>
      </c>
      <c r="M15" s="43" t="s">
        <v>35</v>
      </c>
      <c r="N15" s="43" t="s">
        <v>60</v>
      </c>
      <c r="O15" s="123" t="s">
        <v>44</v>
      </c>
      <c r="P15" s="124"/>
      <c r="Q15" s="43" t="s">
        <v>45</v>
      </c>
      <c r="S15" s="131" t="s">
        <v>63</v>
      </c>
      <c r="T15" s="132"/>
      <c r="U15" s="133"/>
    </row>
    <row r="16" spans="1:21" ht="15" x14ac:dyDescent="0.25">
      <c r="A16" s="71" t="s">
        <v>58</v>
      </c>
      <c r="C16" s="72">
        <v>70</v>
      </c>
      <c r="D16" s="73">
        <f>VLOOKUP(C16,Lønnstabell!$A$8:$B$90,2)</f>
        <v>661400</v>
      </c>
      <c r="E16" s="73">
        <f>VLOOKUP(C16,Lønnstabell!$A$8:$C$90,3)</f>
        <v>661000</v>
      </c>
      <c r="F16" s="73">
        <f>E16/12*10.85</f>
        <v>597654.16666666663</v>
      </c>
      <c r="G16" s="73">
        <f>F16*'div satser'!$C$2</f>
        <v>71718.499999999985</v>
      </c>
      <c r="H16" s="73">
        <f>'div satser'!$C$4</f>
        <v>1231</v>
      </c>
      <c r="I16" s="73">
        <f>(F16+H16)*'div satser'!$C$3</f>
        <v>84442.808499999985</v>
      </c>
      <c r="J16" s="73">
        <f>G16*'div satser'!$C$3</f>
        <v>10112.308499999997</v>
      </c>
      <c r="K16" s="73">
        <f>(D16*'div satser'!$C$6)</f>
        <v>78045.2</v>
      </c>
      <c r="L16" s="73">
        <f>K16*'div satser'!$C$3</f>
        <v>11004.373199999998</v>
      </c>
      <c r="M16" s="73">
        <f>SUM(F16:L16)</f>
        <v>854208.35686666658</v>
      </c>
      <c r="N16" s="66">
        <f>M16/1628</f>
        <v>524.69800790335785</v>
      </c>
      <c r="O16" s="121"/>
      <c r="P16" s="122"/>
      <c r="Q16" s="100">
        <f>N16+N16*O16</f>
        <v>524.69800790335785</v>
      </c>
    </row>
    <row r="17" spans="1:17" ht="15" x14ac:dyDescent="0.25">
      <c r="A17" s="71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74"/>
      <c r="Q17" s="101"/>
    </row>
    <row r="18" spans="1:17" ht="15" x14ac:dyDescent="0.25">
      <c r="A18" s="71" t="s">
        <v>50</v>
      </c>
      <c r="P18" s="75">
        <v>0.1</v>
      </c>
      <c r="Q18" s="102">
        <f>Q16*P18</f>
        <v>52.469800790335789</v>
      </c>
    </row>
    <row r="19" spans="1:17" x14ac:dyDescent="0.2">
      <c r="A19" s="71"/>
      <c r="P19" s="75"/>
      <c r="Q19" s="101"/>
    </row>
    <row r="20" spans="1:17" ht="15" x14ac:dyDescent="0.25">
      <c r="A20" s="71" t="s">
        <v>59</v>
      </c>
      <c r="N20" s="69" t="s">
        <v>51</v>
      </c>
      <c r="O20" s="86" t="s">
        <v>57</v>
      </c>
      <c r="P20" s="75">
        <v>0.15</v>
      </c>
      <c r="Q20" s="63">
        <f>IF(O20="",0,P20*Q16)</f>
        <v>78.70470118550368</v>
      </c>
    </row>
    <row r="21" spans="1:17" ht="15" x14ac:dyDescent="0.25">
      <c r="A21" s="71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Q21" s="101"/>
    </row>
    <row r="22" spans="1:17" ht="15" x14ac:dyDescent="0.25">
      <c r="A22" s="76" t="s">
        <v>42</v>
      </c>
      <c r="B22" s="77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79"/>
      <c r="P22" s="77"/>
      <c r="Q22" s="64">
        <f>SUBTOTAL(9,Q16:Q21)</f>
        <v>655.87250987919731</v>
      </c>
    </row>
    <row r="23" spans="1:17" ht="15" x14ac:dyDescent="0.25">
      <c r="A23" s="80"/>
      <c r="B23" s="70"/>
      <c r="C23" s="7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74"/>
      <c r="O23" s="74"/>
      <c r="P23" s="70"/>
      <c r="Q23" s="67"/>
    </row>
    <row r="24" spans="1:17" ht="15" x14ac:dyDescent="0.25">
      <c r="A24" s="70" t="s">
        <v>7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4"/>
      <c r="Q24" s="101"/>
    </row>
    <row r="25" spans="1:17" ht="15" x14ac:dyDescent="0.25">
      <c r="A25" s="82" t="s">
        <v>61</v>
      </c>
      <c r="B25" s="83"/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  <c r="O25" s="85"/>
      <c r="P25" s="86">
        <v>10</v>
      </c>
      <c r="Q25" s="65">
        <f>IF(P25="",0,P25)</f>
        <v>10</v>
      </c>
    </row>
    <row r="26" spans="1:17" ht="15" x14ac:dyDescent="0.25">
      <c r="A26" s="87" t="s">
        <v>62</v>
      </c>
      <c r="B26" s="88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90"/>
      <c r="O26" s="90"/>
      <c r="P26" s="91"/>
      <c r="Q26" s="65">
        <f>IF(P26="",0,P26*1628)</f>
        <v>0</v>
      </c>
    </row>
    <row r="27" spans="1:17" ht="15" x14ac:dyDescent="0.25">
      <c r="A27" s="71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4"/>
      <c r="Q27" s="101"/>
    </row>
    <row r="28" spans="1:17" ht="15" x14ac:dyDescent="0.25">
      <c r="A28" s="92" t="s">
        <v>47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103">
        <f>(Q22*Q25)+(Q22*Q26)</f>
        <v>6558.7250987919733</v>
      </c>
    </row>
    <row r="30" spans="1:17" ht="15" x14ac:dyDescent="0.25">
      <c r="A30" s="70" t="s">
        <v>48</v>
      </c>
    </row>
    <row r="31" spans="1:17" ht="15" x14ac:dyDescent="0.25">
      <c r="A31" s="94" t="s">
        <v>49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3" spans="1:17" ht="15" x14ac:dyDescent="0.25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104">
        <f>Q28+Q31</f>
        <v>6558.7250987919733</v>
      </c>
    </row>
    <row r="36" spans="1:17" ht="15" x14ac:dyDescent="0.25">
      <c r="A36" s="70" t="s">
        <v>53</v>
      </c>
    </row>
    <row r="37" spans="1:17" x14ac:dyDescent="0.2">
      <c r="A37" s="69" t="s">
        <v>54</v>
      </c>
    </row>
    <row r="39" spans="1:17" x14ac:dyDescent="0.2">
      <c r="A39" s="99" t="s">
        <v>55</v>
      </c>
      <c r="N39" s="99" t="s">
        <v>56</v>
      </c>
    </row>
    <row r="40" spans="1:17" x14ac:dyDescent="0.2">
      <c r="A40" s="125"/>
      <c r="B40" s="126"/>
      <c r="N40" s="125"/>
      <c r="O40" s="129"/>
      <c r="P40" s="129"/>
      <c r="Q40" s="126"/>
    </row>
    <row r="41" spans="1:17" x14ac:dyDescent="0.2">
      <c r="A41" s="127"/>
      <c r="B41" s="128"/>
      <c r="N41" s="127"/>
      <c r="O41" s="130"/>
      <c r="P41" s="130"/>
      <c r="Q41" s="128"/>
    </row>
  </sheetData>
  <sheetProtection formatCells="0" formatColumns="0" formatRows="0" insertColumns="0" insertRows="0" insertHyperlinks="0" deleteColumns="0" deleteRows="0" sort="0" autoFilter="0" pivotTables="0"/>
  <mergeCells count="5">
    <mergeCell ref="O16:P16"/>
    <mergeCell ref="O15:P15"/>
    <mergeCell ref="A40:B41"/>
    <mergeCell ref="N40:Q41"/>
    <mergeCell ref="S15:U15"/>
  </mergeCells>
  <pageMargins left="0.7" right="0.7" top="0.75" bottom="0.75" header="0.3" footer="0.3"/>
  <pageSetup paperSize="9" fitToHeight="0" orientation="portrait" r:id="rId1"/>
  <ignoredErrors>
    <ignoredError sqref="D16:M1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1"/>
  <sheetViews>
    <sheetView workbookViewId="0">
      <selection activeCell="B40" sqref="B40"/>
    </sheetView>
  </sheetViews>
  <sheetFormatPr baseColWidth="10" defaultRowHeight="12.75" x14ac:dyDescent="0.2"/>
  <cols>
    <col min="1" max="1" width="8.5703125" customWidth="1"/>
    <col min="2" max="2" width="9.5703125" customWidth="1"/>
    <col min="3" max="3" width="9.140625" customWidth="1"/>
    <col min="4" max="4" width="8.85546875" style="2" customWidth="1"/>
    <col min="5" max="5" width="29.5703125" customWidth="1"/>
    <col min="6" max="6" width="11.42578125" style="2" customWidth="1"/>
    <col min="9" max="9" width="6.5703125" customWidth="1"/>
    <col min="10" max="11" width="9.42578125" customWidth="1"/>
    <col min="12" max="12" width="10.5703125" customWidth="1"/>
  </cols>
  <sheetData>
    <row r="1" spans="1:12" x14ac:dyDescent="0.2">
      <c r="A1" t="s">
        <v>66</v>
      </c>
      <c r="B1" s="2"/>
      <c r="G1" s="15"/>
      <c r="H1" s="15"/>
      <c r="J1" s="3"/>
      <c r="L1" s="1"/>
    </row>
    <row r="2" spans="1:12" ht="17.25" x14ac:dyDescent="0.25">
      <c r="A2" s="136" t="s">
        <v>65</v>
      </c>
      <c r="B2" s="136"/>
      <c r="C2" s="136"/>
      <c r="D2" s="136"/>
      <c r="E2" s="136"/>
      <c r="G2" s="15"/>
      <c r="H2" s="15"/>
      <c r="J2" s="3"/>
      <c r="L2" s="1"/>
    </row>
    <row r="3" spans="1:12" ht="21" x14ac:dyDescent="0.35">
      <c r="A3" s="115" t="s">
        <v>74</v>
      </c>
      <c r="B3" s="116"/>
      <c r="C3" s="117"/>
      <c r="D3" s="116"/>
      <c r="E3" s="117"/>
      <c r="F3" s="119"/>
      <c r="G3" s="118"/>
      <c r="H3" s="118"/>
      <c r="I3" s="118"/>
    </row>
    <row r="4" spans="1:12" s="12" customFormat="1" x14ac:dyDescent="0.2">
      <c r="A4" s="16"/>
      <c r="B4" s="113">
        <v>1</v>
      </c>
      <c r="C4" s="114">
        <v>2</v>
      </c>
    </row>
    <row r="5" spans="1:12" s="12" customFormat="1" ht="11.25" customHeight="1" x14ac:dyDescent="0.2">
      <c r="A5" s="16"/>
      <c r="B5" s="17" t="s">
        <v>4</v>
      </c>
      <c r="C5" s="18"/>
    </row>
    <row r="6" spans="1:12" s="12" customFormat="1" ht="12.75" customHeight="1" x14ac:dyDescent="0.2">
      <c r="A6" s="19" t="s">
        <v>20</v>
      </c>
      <c r="B6" s="20" t="s">
        <v>68</v>
      </c>
      <c r="C6" s="27" t="s">
        <v>67</v>
      </c>
    </row>
    <row r="7" spans="1:12" s="12" customFormat="1" ht="13.5" thickBot="1" x14ac:dyDescent="0.25">
      <c r="A7" s="21" t="s">
        <v>21</v>
      </c>
      <c r="B7" s="22" t="s">
        <v>5</v>
      </c>
      <c r="C7" s="23" t="s">
        <v>6</v>
      </c>
    </row>
    <row r="8" spans="1:12" ht="15" x14ac:dyDescent="0.25">
      <c r="A8" s="110">
        <v>19</v>
      </c>
      <c r="B8" s="120">
        <v>319800</v>
      </c>
      <c r="C8" s="2">
        <f t="shared" ref="C8:C39" si="0">B8-400</f>
        <v>319400</v>
      </c>
      <c r="F8"/>
    </row>
    <row r="9" spans="1:12" ht="15" x14ac:dyDescent="0.25">
      <c r="A9" s="110">
        <v>20</v>
      </c>
      <c r="B9" s="120">
        <v>323300</v>
      </c>
      <c r="C9" s="2">
        <f t="shared" si="0"/>
        <v>322900</v>
      </c>
      <c r="F9"/>
    </row>
    <row r="10" spans="1:12" ht="15" x14ac:dyDescent="0.25">
      <c r="A10" s="110">
        <v>21</v>
      </c>
      <c r="B10" s="120">
        <v>327300</v>
      </c>
      <c r="C10" s="2">
        <f t="shared" si="0"/>
        <v>326900</v>
      </c>
      <c r="F10"/>
    </row>
    <row r="11" spans="1:12" ht="15" x14ac:dyDescent="0.25">
      <c r="A11" s="110">
        <v>22</v>
      </c>
      <c r="B11" s="120">
        <v>330900</v>
      </c>
      <c r="C11" s="2">
        <f t="shared" si="0"/>
        <v>330500</v>
      </c>
      <c r="F11"/>
    </row>
    <row r="12" spans="1:12" ht="15" x14ac:dyDescent="0.25">
      <c r="A12" s="110">
        <v>23</v>
      </c>
      <c r="B12" s="120">
        <v>334800</v>
      </c>
      <c r="C12" s="2">
        <f t="shared" si="0"/>
        <v>334400</v>
      </c>
      <c r="F12"/>
    </row>
    <row r="13" spans="1:12" ht="15" x14ac:dyDescent="0.25">
      <c r="A13" s="110">
        <v>24</v>
      </c>
      <c r="B13" s="120">
        <v>338800</v>
      </c>
      <c r="C13" s="2">
        <f t="shared" si="0"/>
        <v>338400</v>
      </c>
      <c r="F13"/>
    </row>
    <row r="14" spans="1:12" ht="15" x14ac:dyDescent="0.25">
      <c r="A14" s="110">
        <v>25</v>
      </c>
      <c r="B14" s="120">
        <v>343000</v>
      </c>
      <c r="C14" s="2">
        <f t="shared" si="0"/>
        <v>342600</v>
      </c>
      <c r="F14"/>
    </row>
    <row r="15" spans="1:12" ht="15" x14ac:dyDescent="0.25">
      <c r="A15" s="110">
        <v>26</v>
      </c>
      <c r="B15" s="120">
        <v>347300</v>
      </c>
      <c r="C15" s="2">
        <f t="shared" si="0"/>
        <v>346900</v>
      </c>
      <c r="F15"/>
    </row>
    <row r="16" spans="1:12" ht="15" x14ac:dyDescent="0.25">
      <c r="A16" s="110">
        <v>27</v>
      </c>
      <c r="B16" s="120">
        <v>351300</v>
      </c>
      <c r="C16" s="2">
        <f t="shared" si="0"/>
        <v>350900</v>
      </c>
      <c r="F16"/>
    </row>
    <row r="17" spans="1:6" ht="15" x14ac:dyDescent="0.25">
      <c r="A17" s="110">
        <v>28</v>
      </c>
      <c r="B17" s="120">
        <v>355300</v>
      </c>
      <c r="C17" s="2">
        <f t="shared" si="0"/>
        <v>354900</v>
      </c>
      <c r="F17"/>
    </row>
    <row r="18" spans="1:6" ht="15" x14ac:dyDescent="0.25">
      <c r="A18" s="110">
        <v>29</v>
      </c>
      <c r="B18" s="120">
        <v>359100</v>
      </c>
      <c r="C18" s="2">
        <f t="shared" si="0"/>
        <v>358700</v>
      </c>
      <c r="F18"/>
    </row>
    <row r="19" spans="1:6" ht="15" x14ac:dyDescent="0.25">
      <c r="A19" s="110">
        <v>30</v>
      </c>
      <c r="B19" s="120">
        <v>363100</v>
      </c>
      <c r="C19" s="2">
        <f t="shared" si="0"/>
        <v>362700</v>
      </c>
      <c r="F19"/>
    </row>
    <row r="20" spans="1:6" ht="15" x14ac:dyDescent="0.25">
      <c r="A20" s="110">
        <v>31</v>
      </c>
      <c r="B20" s="120">
        <v>366700</v>
      </c>
      <c r="C20" s="2">
        <f t="shared" si="0"/>
        <v>366300</v>
      </c>
      <c r="F20"/>
    </row>
    <row r="21" spans="1:6" ht="15" x14ac:dyDescent="0.25">
      <c r="A21" s="110">
        <v>32</v>
      </c>
      <c r="B21" s="120">
        <v>370900</v>
      </c>
      <c r="C21" s="2">
        <f t="shared" si="0"/>
        <v>370500</v>
      </c>
      <c r="F21"/>
    </row>
    <row r="22" spans="1:6" ht="15" x14ac:dyDescent="0.25">
      <c r="A22" s="110">
        <v>33</v>
      </c>
      <c r="B22" s="120">
        <v>374800</v>
      </c>
      <c r="C22" s="2">
        <f t="shared" si="0"/>
        <v>374400</v>
      </c>
      <c r="F22"/>
    </row>
    <row r="23" spans="1:6" ht="15" x14ac:dyDescent="0.25">
      <c r="A23" s="110">
        <v>34</v>
      </c>
      <c r="B23" s="120">
        <v>379000</v>
      </c>
      <c r="C23" s="2">
        <f t="shared" si="0"/>
        <v>378600</v>
      </c>
      <c r="F23"/>
    </row>
    <row r="24" spans="1:6" ht="15" x14ac:dyDescent="0.25">
      <c r="A24" s="110">
        <v>35</v>
      </c>
      <c r="B24" s="120">
        <v>383200</v>
      </c>
      <c r="C24" s="2">
        <f t="shared" si="0"/>
        <v>382800</v>
      </c>
      <c r="F24"/>
    </row>
    <row r="25" spans="1:6" ht="15" x14ac:dyDescent="0.25">
      <c r="A25" s="110">
        <v>36</v>
      </c>
      <c r="B25" s="120">
        <v>387500</v>
      </c>
      <c r="C25" s="2">
        <f t="shared" si="0"/>
        <v>387100</v>
      </c>
      <c r="F25"/>
    </row>
    <row r="26" spans="1:6" ht="15" x14ac:dyDescent="0.25">
      <c r="A26" s="110">
        <v>37</v>
      </c>
      <c r="B26" s="120">
        <v>392300</v>
      </c>
      <c r="C26" s="2">
        <f t="shared" si="0"/>
        <v>391900</v>
      </c>
      <c r="F26"/>
    </row>
    <row r="27" spans="1:6" ht="15" x14ac:dyDescent="0.25">
      <c r="A27" s="110">
        <v>38</v>
      </c>
      <c r="B27" s="120">
        <v>397100</v>
      </c>
      <c r="C27" s="2">
        <f t="shared" si="0"/>
        <v>396700</v>
      </c>
      <c r="F27"/>
    </row>
    <row r="28" spans="1:6" ht="15" x14ac:dyDescent="0.25">
      <c r="A28" s="110">
        <v>39</v>
      </c>
      <c r="B28" s="120">
        <v>401800</v>
      </c>
      <c r="C28" s="2">
        <f t="shared" si="0"/>
        <v>401400</v>
      </c>
      <c r="F28"/>
    </row>
    <row r="29" spans="1:6" ht="15" x14ac:dyDescent="0.25">
      <c r="A29" s="110">
        <v>40</v>
      </c>
      <c r="B29" s="120">
        <v>406900</v>
      </c>
      <c r="C29" s="2">
        <f t="shared" si="0"/>
        <v>406500</v>
      </c>
      <c r="F29"/>
    </row>
    <row r="30" spans="1:6" ht="15" x14ac:dyDescent="0.25">
      <c r="A30" s="110">
        <v>41</v>
      </c>
      <c r="B30" s="120">
        <v>412000</v>
      </c>
      <c r="C30" s="2">
        <f t="shared" si="0"/>
        <v>411600</v>
      </c>
      <c r="F30"/>
    </row>
    <row r="31" spans="1:6" ht="15" x14ac:dyDescent="0.25">
      <c r="A31" s="110">
        <v>42</v>
      </c>
      <c r="B31" s="120">
        <v>417900</v>
      </c>
      <c r="C31" s="2">
        <f t="shared" si="0"/>
        <v>417500</v>
      </c>
      <c r="F31"/>
    </row>
    <row r="32" spans="1:6" ht="15" x14ac:dyDescent="0.25">
      <c r="A32" s="110">
        <v>43</v>
      </c>
      <c r="B32" s="120">
        <v>423500</v>
      </c>
      <c r="C32" s="2">
        <f t="shared" si="0"/>
        <v>423100</v>
      </c>
      <c r="F32"/>
    </row>
    <row r="33" spans="1:6" ht="15" x14ac:dyDescent="0.25">
      <c r="A33" s="110">
        <v>44</v>
      </c>
      <c r="B33" s="120">
        <v>429600</v>
      </c>
      <c r="C33" s="2">
        <f t="shared" si="0"/>
        <v>429200</v>
      </c>
      <c r="F33"/>
    </row>
    <row r="34" spans="1:6" ht="15" x14ac:dyDescent="0.25">
      <c r="A34" s="110">
        <v>45</v>
      </c>
      <c r="B34" s="120">
        <v>435600</v>
      </c>
      <c r="C34" s="2">
        <f t="shared" si="0"/>
        <v>435200</v>
      </c>
      <c r="F34"/>
    </row>
    <row r="35" spans="1:6" ht="15" x14ac:dyDescent="0.25">
      <c r="A35" s="110">
        <v>46</v>
      </c>
      <c r="B35" s="120">
        <v>441900</v>
      </c>
      <c r="C35" s="2">
        <f t="shared" si="0"/>
        <v>441500</v>
      </c>
      <c r="F35"/>
    </row>
    <row r="36" spans="1:6" ht="15" x14ac:dyDescent="0.25">
      <c r="A36" s="110">
        <v>47</v>
      </c>
      <c r="B36" s="120">
        <v>449900</v>
      </c>
      <c r="C36" s="2">
        <f t="shared" si="0"/>
        <v>449500</v>
      </c>
      <c r="F36"/>
    </row>
    <row r="37" spans="1:6" ht="15" x14ac:dyDescent="0.25">
      <c r="A37" s="110">
        <v>48</v>
      </c>
      <c r="B37" s="120">
        <v>456800</v>
      </c>
      <c r="C37" s="2">
        <f t="shared" si="0"/>
        <v>456400</v>
      </c>
      <c r="F37"/>
    </row>
    <row r="38" spans="1:6" ht="15" x14ac:dyDescent="0.25">
      <c r="A38" s="110">
        <v>49</v>
      </c>
      <c r="B38" s="120">
        <v>464200</v>
      </c>
      <c r="C38" s="2">
        <f t="shared" si="0"/>
        <v>463800</v>
      </c>
      <c r="F38"/>
    </row>
    <row r="39" spans="1:6" ht="15" x14ac:dyDescent="0.25">
      <c r="A39" s="110">
        <v>50</v>
      </c>
      <c r="B39" s="120">
        <v>471300</v>
      </c>
      <c r="C39" s="2">
        <f t="shared" si="0"/>
        <v>470900</v>
      </c>
      <c r="F39"/>
    </row>
    <row r="40" spans="1:6" ht="15" x14ac:dyDescent="0.25">
      <c r="A40" s="110">
        <v>51</v>
      </c>
      <c r="B40" s="120">
        <v>478300</v>
      </c>
      <c r="C40" s="2">
        <f t="shared" ref="C40:C71" si="1">B40-400</f>
        <v>477900</v>
      </c>
      <c r="F40"/>
    </row>
    <row r="41" spans="1:6" ht="15" x14ac:dyDescent="0.25">
      <c r="A41" s="110">
        <v>52</v>
      </c>
      <c r="B41" s="120">
        <v>485800</v>
      </c>
      <c r="C41" s="2">
        <f t="shared" si="1"/>
        <v>485400</v>
      </c>
      <c r="F41"/>
    </row>
    <row r="42" spans="1:6" ht="15" x14ac:dyDescent="0.25">
      <c r="A42" s="110">
        <v>53</v>
      </c>
      <c r="B42" s="120">
        <v>493700</v>
      </c>
      <c r="C42" s="2">
        <f t="shared" si="1"/>
        <v>493300</v>
      </c>
      <c r="F42"/>
    </row>
    <row r="43" spans="1:6" ht="15" x14ac:dyDescent="0.25">
      <c r="A43" s="110">
        <v>54</v>
      </c>
      <c r="B43" s="120">
        <v>501200</v>
      </c>
      <c r="C43" s="2">
        <f t="shared" si="1"/>
        <v>500800</v>
      </c>
      <c r="F43"/>
    </row>
    <row r="44" spans="1:6" ht="15" x14ac:dyDescent="0.25">
      <c r="A44" s="110">
        <v>55</v>
      </c>
      <c r="B44" s="120">
        <v>509500</v>
      </c>
      <c r="C44" s="2">
        <f t="shared" si="1"/>
        <v>509100</v>
      </c>
      <c r="F44"/>
    </row>
    <row r="45" spans="1:6" ht="15" x14ac:dyDescent="0.25">
      <c r="A45" s="110">
        <v>56</v>
      </c>
      <c r="B45" s="120">
        <v>517600</v>
      </c>
      <c r="C45" s="2">
        <f t="shared" si="1"/>
        <v>517200</v>
      </c>
      <c r="F45"/>
    </row>
    <row r="46" spans="1:6" ht="15" x14ac:dyDescent="0.25">
      <c r="A46" s="110">
        <v>57</v>
      </c>
      <c r="B46" s="120">
        <v>526100</v>
      </c>
      <c r="C46" s="2">
        <f t="shared" si="1"/>
        <v>525700</v>
      </c>
      <c r="F46"/>
    </row>
    <row r="47" spans="1:6" ht="15" x14ac:dyDescent="0.25">
      <c r="A47" s="110">
        <v>58</v>
      </c>
      <c r="B47" s="120">
        <v>534900</v>
      </c>
      <c r="C47" s="2">
        <f t="shared" si="1"/>
        <v>534500</v>
      </c>
      <c r="F47"/>
    </row>
    <row r="48" spans="1:6" ht="15" x14ac:dyDescent="0.25">
      <c r="A48" s="110">
        <v>59</v>
      </c>
      <c r="B48" s="120">
        <v>544400</v>
      </c>
      <c r="C48" s="2">
        <f t="shared" si="1"/>
        <v>544000</v>
      </c>
      <c r="F48"/>
    </row>
    <row r="49" spans="1:6" ht="15" x14ac:dyDescent="0.25">
      <c r="A49" s="110">
        <v>60</v>
      </c>
      <c r="B49" s="120">
        <v>553500</v>
      </c>
      <c r="C49" s="2">
        <f t="shared" si="1"/>
        <v>553100</v>
      </c>
      <c r="F49"/>
    </row>
    <row r="50" spans="1:6" ht="15" x14ac:dyDescent="0.25">
      <c r="A50" s="110">
        <v>61</v>
      </c>
      <c r="B50" s="120">
        <v>563500</v>
      </c>
      <c r="C50" s="2">
        <f t="shared" si="1"/>
        <v>563100</v>
      </c>
      <c r="F50"/>
    </row>
    <row r="51" spans="1:6" ht="15" x14ac:dyDescent="0.25">
      <c r="A51" s="110">
        <v>62</v>
      </c>
      <c r="B51" s="120">
        <v>573900</v>
      </c>
      <c r="C51" s="2">
        <f t="shared" si="1"/>
        <v>573500</v>
      </c>
      <c r="F51"/>
    </row>
    <row r="52" spans="1:6" ht="15" x14ac:dyDescent="0.25">
      <c r="A52" s="110">
        <v>63</v>
      </c>
      <c r="B52" s="120">
        <v>584700</v>
      </c>
      <c r="C52" s="2">
        <f t="shared" si="1"/>
        <v>584300</v>
      </c>
      <c r="F52"/>
    </row>
    <row r="53" spans="1:6" ht="15" x14ac:dyDescent="0.25">
      <c r="A53" s="110">
        <v>64</v>
      </c>
      <c r="B53" s="120">
        <v>593500</v>
      </c>
      <c r="C53" s="2">
        <f t="shared" si="1"/>
        <v>593100</v>
      </c>
      <c r="F53"/>
    </row>
    <row r="54" spans="1:6" ht="15" x14ac:dyDescent="0.25">
      <c r="A54" s="110">
        <v>65</v>
      </c>
      <c r="B54" s="120">
        <v>604400</v>
      </c>
      <c r="C54" s="2">
        <f t="shared" si="1"/>
        <v>604000</v>
      </c>
      <c r="F54"/>
    </row>
    <row r="55" spans="1:6" ht="15" x14ac:dyDescent="0.25">
      <c r="A55" s="110">
        <v>66</v>
      </c>
      <c r="B55" s="120">
        <v>615000</v>
      </c>
      <c r="C55" s="2">
        <f t="shared" si="1"/>
        <v>614600</v>
      </c>
      <c r="F55"/>
    </row>
    <row r="56" spans="1:6" ht="15" x14ac:dyDescent="0.25">
      <c r="A56" s="110">
        <v>67</v>
      </c>
      <c r="B56" s="120">
        <v>626300</v>
      </c>
      <c r="C56" s="2">
        <f t="shared" si="1"/>
        <v>625900</v>
      </c>
      <c r="F56"/>
    </row>
    <row r="57" spans="1:6" ht="15" x14ac:dyDescent="0.25">
      <c r="A57" s="110">
        <v>68</v>
      </c>
      <c r="B57" s="120">
        <v>636700</v>
      </c>
      <c r="C57" s="2">
        <f t="shared" si="1"/>
        <v>636300</v>
      </c>
      <c r="F57"/>
    </row>
    <row r="58" spans="1:6" ht="15" x14ac:dyDescent="0.25">
      <c r="A58" s="110">
        <v>69</v>
      </c>
      <c r="B58" s="120">
        <v>648700</v>
      </c>
      <c r="C58" s="2">
        <f t="shared" si="1"/>
        <v>648300</v>
      </c>
      <c r="F58"/>
    </row>
    <row r="59" spans="1:6" ht="15" x14ac:dyDescent="0.25">
      <c r="A59" s="110">
        <v>70</v>
      </c>
      <c r="B59" s="120">
        <v>661400</v>
      </c>
      <c r="C59" s="2">
        <f t="shared" si="1"/>
        <v>661000</v>
      </c>
      <c r="F59"/>
    </row>
    <row r="60" spans="1:6" ht="15" x14ac:dyDescent="0.25">
      <c r="A60" s="110">
        <v>71</v>
      </c>
      <c r="B60" s="120">
        <v>677000</v>
      </c>
      <c r="C60" s="2">
        <f t="shared" si="1"/>
        <v>676600</v>
      </c>
      <c r="F60"/>
    </row>
    <row r="61" spans="1:6" ht="15" x14ac:dyDescent="0.25">
      <c r="A61" s="110">
        <v>72</v>
      </c>
      <c r="B61" s="120">
        <v>689100</v>
      </c>
      <c r="C61" s="2">
        <f t="shared" si="1"/>
        <v>688700</v>
      </c>
      <c r="F61"/>
    </row>
    <row r="62" spans="1:6" ht="15" x14ac:dyDescent="0.25">
      <c r="A62" s="110">
        <v>73</v>
      </c>
      <c r="B62" s="120">
        <v>701300</v>
      </c>
      <c r="C62" s="2">
        <f t="shared" si="1"/>
        <v>700900</v>
      </c>
      <c r="F62"/>
    </row>
    <row r="63" spans="1:6" ht="15" x14ac:dyDescent="0.25">
      <c r="A63" s="110">
        <v>74</v>
      </c>
      <c r="B63" s="120">
        <v>714000</v>
      </c>
      <c r="C63" s="2">
        <f t="shared" si="1"/>
        <v>713600</v>
      </c>
      <c r="F63"/>
    </row>
    <row r="64" spans="1:6" ht="15" x14ac:dyDescent="0.25">
      <c r="A64" s="110">
        <v>75</v>
      </c>
      <c r="B64" s="120">
        <v>728100</v>
      </c>
      <c r="C64" s="2">
        <f t="shared" si="1"/>
        <v>727700</v>
      </c>
      <c r="F64"/>
    </row>
    <row r="65" spans="1:6" ht="15" x14ac:dyDescent="0.25">
      <c r="A65" s="110">
        <v>76</v>
      </c>
      <c r="B65" s="120">
        <v>746900</v>
      </c>
      <c r="C65" s="2">
        <f t="shared" si="1"/>
        <v>746500</v>
      </c>
      <c r="F65"/>
    </row>
    <row r="66" spans="1:6" ht="15" x14ac:dyDescent="0.25">
      <c r="A66" s="110">
        <v>77</v>
      </c>
      <c r="B66" s="120">
        <v>765600</v>
      </c>
      <c r="C66" s="2">
        <f t="shared" si="1"/>
        <v>765200</v>
      </c>
      <c r="F66"/>
    </row>
    <row r="67" spans="1:6" ht="15" x14ac:dyDescent="0.25">
      <c r="A67" s="110">
        <v>78</v>
      </c>
      <c r="B67" s="120">
        <v>790100</v>
      </c>
      <c r="C67" s="2">
        <f t="shared" si="1"/>
        <v>789700</v>
      </c>
      <c r="F67"/>
    </row>
    <row r="68" spans="1:6" ht="15" x14ac:dyDescent="0.25">
      <c r="A68" s="110">
        <v>79</v>
      </c>
      <c r="B68" s="120">
        <v>814900</v>
      </c>
      <c r="C68" s="2">
        <f t="shared" si="1"/>
        <v>814500</v>
      </c>
      <c r="F68"/>
    </row>
    <row r="69" spans="1:6" ht="15" x14ac:dyDescent="0.25">
      <c r="A69" s="110">
        <v>80</v>
      </c>
      <c r="B69" s="120">
        <v>839900</v>
      </c>
      <c r="C69" s="2">
        <f t="shared" si="1"/>
        <v>839500</v>
      </c>
      <c r="F69"/>
    </row>
    <row r="70" spans="1:6" ht="15" x14ac:dyDescent="0.25">
      <c r="A70" s="110">
        <v>81</v>
      </c>
      <c r="B70" s="120">
        <v>864500</v>
      </c>
      <c r="C70" s="2">
        <f t="shared" si="1"/>
        <v>864100</v>
      </c>
      <c r="F70"/>
    </row>
    <row r="71" spans="1:6" ht="15" x14ac:dyDescent="0.25">
      <c r="A71" s="110">
        <v>82</v>
      </c>
      <c r="B71" s="120">
        <v>888200</v>
      </c>
      <c r="C71" s="2">
        <f t="shared" si="1"/>
        <v>887800</v>
      </c>
      <c r="F71"/>
    </row>
    <row r="72" spans="1:6" ht="15" x14ac:dyDescent="0.25">
      <c r="A72" s="110">
        <v>83</v>
      </c>
      <c r="B72" s="120">
        <v>911700</v>
      </c>
      <c r="C72" s="2">
        <f t="shared" ref="C72:C90" si="2">B72-400</f>
        <v>911300</v>
      </c>
      <c r="F72"/>
    </row>
    <row r="73" spans="1:6" ht="15" x14ac:dyDescent="0.25">
      <c r="A73" s="110">
        <v>84</v>
      </c>
      <c r="B73" s="120">
        <v>935300</v>
      </c>
      <c r="C73" s="2">
        <f t="shared" si="2"/>
        <v>934900</v>
      </c>
      <c r="F73"/>
    </row>
    <row r="74" spans="1:6" ht="15" x14ac:dyDescent="0.25">
      <c r="A74" s="110">
        <v>85</v>
      </c>
      <c r="B74" s="120">
        <v>965000</v>
      </c>
      <c r="C74" s="2">
        <f t="shared" si="2"/>
        <v>964600</v>
      </c>
      <c r="F74"/>
    </row>
    <row r="75" spans="1:6" ht="15" x14ac:dyDescent="0.25">
      <c r="A75" s="110">
        <v>86</v>
      </c>
      <c r="B75" s="120">
        <v>994200</v>
      </c>
      <c r="C75" s="2">
        <f t="shared" si="2"/>
        <v>993800</v>
      </c>
      <c r="F75"/>
    </row>
    <row r="76" spans="1:6" ht="15" x14ac:dyDescent="0.25">
      <c r="A76" s="110">
        <v>87</v>
      </c>
      <c r="B76" s="120">
        <v>1024200</v>
      </c>
      <c r="C76" s="2">
        <f t="shared" si="2"/>
        <v>1023800</v>
      </c>
      <c r="F76"/>
    </row>
    <row r="77" spans="1:6" ht="15" x14ac:dyDescent="0.25">
      <c r="A77" s="110">
        <v>88</v>
      </c>
      <c r="B77" s="120">
        <v>1047600</v>
      </c>
      <c r="C77" s="2">
        <f t="shared" si="2"/>
        <v>1047200</v>
      </c>
      <c r="F77"/>
    </row>
    <row r="78" spans="1:6" ht="15" x14ac:dyDescent="0.25">
      <c r="A78" s="110">
        <v>89</v>
      </c>
      <c r="B78" s="120">
        <v>1071200</v>
      </c>
      <c r="C78" s="2">
        <f t="shared" si="2"/>
        <v>1070800</v>
      </c>
      <c r="F78"/>
    </row>
    <row r="79" spans="1:6" ht="15" x14ac:dyDescent="0.25">
      <c r="A79" s="110">
        <v>90</v>
      </c>
      <c r="B79" s="120">
        <v>1094800</v>
      </c>
      <c r="C79" s="2">
        <f t="shared" si="2"/>
        <v>1094400</v>
      </c>
      <c r="F79"/>
    </row>
    <row r="80" spans="1:6" ht="15" x14ac:dyDescent="0.25">
      <c r="A80" s="110">
        <v>91</v>
      </c>
      <c r="B80" s="120">
        <v>1118700</v>
      </c>
      <c r="C80" s="2">
        <f t="shared" si="2"/>
        <v>1118300</v>
      </c>
      <c r="F80"/>
    </row>
    <row r="81" spans="1:6" ht="15" x14ac:dyDescent="0.25">
      <c r="A81" s="110">
        <v>92</v>
      </c>
      <c r="B81" s="120">
        <v>1142100</v>
      </c>
      <c r="C81" s="2">
        <f t="shared" si="2"/>
        <v>1141700</v>
      </c>
      <c r="F81"/>
    </row>
    <row r="82" spans="1:6" ht="15" x14ac:dyDescent="0.25">
      <c r="A82" s="110">
        <v>93</v>
      </c>
      <c r="B82" s="120">
        <v>1165800</v>
      </c>
      <c r="C82" s="2">
        <f t="shared" si="2"/>
        <v>1165400</v>
      </c>
      <c r="F82"/>
    </row>
    <row r="83" spans="1:6" ht="15" x14ac:dyDescent="0.25">
      <c r="A83" s="110">
        <v>94</v>
      </c>
      <c r="B83" s="120">
        <v>1189400</v>
      </c>
      <c r="C83" s="2">
        <f t="shared" si="2"/>
        <v>1189000</v>
      </c>
      <c r="F83"/>
    </row>
    <row r="84" spans="1:6" ht="15" x14ac:dyDescent="0.25">
      <c r="A84" s="110">
        <v>95</v>
      </c>
      <c r="B84" s="120">
        <v>1213200</v>
      </c>
      <c r="C84" s="2">
        <f t="shared" si="2"/>
        <v>1212800</v>
      </c>
      <c r="F84"/>
    </row>
    <row r="85" spans="1:6" ht="15" x14ac:dyDescent="0.25">
      <c r="A85" s="110">
        <v>96</v>
      </c>
      <c r="B85" s="120">
        <v>1236300</v>
      </c>
      <c r="C85" s="2">
        <f t="shared" si="2"/>
        <v>1235900</v>
      </c>
      <c r="F85"/>
    </row>
    <row r="86" spans="1:6" ht="15" x14ac:dyDescent="0.25">
      <c r="A86" s="110">
        <v>97</v>
      </c>
      <c r="B86" s="120">
        <v>1259500</v>
      </c>
      <c r="C86" s="2">
        <f t="shared" si="2"/>
        <v>1259100</v>
      </c>
      <c r="F86"/>
    </row>
    <row r="87" spans="1:6" ht="15" x14ac:dyDescent="0.25">
      <c r="A87" s="110">
        <v>98</v>
      </c>
      <c r="B87" s="120">
        <v>1282600</v>
      </c>
      <c r="C87" s="2">
        <f t="shared" si="2"/>
        <v>1282200</v>
      </c>
      <c r="F87"/>
    </row>
    <row r="88" spans="1:6" ht="15" x14ac:dyDescent="0.25">
      <c r="A88" s="111">
        <v>99</v>
      </c>
      <c r="B88" s="120">
        <v>1304800</v>
      </c>
      <c r="C88" s="2">
        <f t="shared" si="2"/>
        <v>1304400</v>
      </c>
      <c r="F88"/>
    </row>
    <row r="89" spans="1:6" ht="15" x14ac:dyDescent="0.25">
      <c r="A89" s="111">
        <v>100</v>
      </c>
      <c r="B89" s="120">
        <v>1326900</v>
      </c>
      <c r="C89" s="2">
        <f t="shared" si="2"/>
        <v>1326500</v>
      </c>
      <c r="F89"/>
    </row>
    <row r="90" spans="1:6" ht="15" x14ac:dyDescent="0.25">
      <c r="A90" s="112">
        <v>101</v>
      </c>
      <c r="B90" s="120">
        <v>1349100</v>
      </c>
      <c r="C90" s="2">
        <f t="shared" si="2"/>
        <v>1348700</v>
      </c>
      <c r="F90"/>
    </row>
    <row r="91" spans="1:6" x14ac:dyDescent="0.2">
      <c r="A91" s="134" t="s">
        <v>64</v>
      </c>
      <c r="B91" s="134"/>
      <c r="C91" s="134"/>
      <c r="D91" s="134"/>
      <c r="F91"/>
    </row>
    <row r="92" spans="1:6" x14ac:dyDescent="0.2">
      <c r="A92" s="135"/>
      <c r="B92" s="135"/>
      <c r="C92" s="135"/>
      <c r="D92" s="135"/>
      <c r="F92"/>
    </row>
    <row r="93" spans="1:6" x14ac:dyDescent="0.2">
      <c r="A93" s="135"/>
      <c r="B93" s="135"/>
      <c r="C93" s="135"/>
      <c r="D93" s="135"/>
      <c r="F93"/>
    </row>
    <row r="94" spans="1:6" x14ac:dyDescent="0.2">
      <c r="A94" s="135"/>
      <c r="B94" s="135"/>
      <c r="C94" s="135"/>
      <c r="D94" s="135"/>
      <c r="F94"/>
    </row>
    <row r="95" spans="1:6" x14ac:dyDescent="0.2">
      <c r="A95" s="135"/>
      <c r="B95" s="135"/>
      <c r="C95" s="135"/>
      <c r="D95" s="135"/>
      <c r="F95"/>
    </row>
    <row r="96" spans="1:6" x14ac:dyDescent="0.2">
      <c r="A96" s="135"/>
      <c r="B96" s="135"/>
      <c r="C96" s="135"/>
      <c r="D96" s="135"/>
      <c r="F96"/>
    </row>
    <row r="97" spans="1:13" x14ac:dyDescent="0.2">
      <c r="A97" s="135"/>
      <c r="B97" s="135"/>
      <c r="C97" s="135"/>
      <c r="D97" s="135"/>
      <c r="F97"/>
    </row>
    <row r="98" spans="1:13" x14ac:dyDescent="0.2">
      <c r="A98" s="135"/>
      <c r="B98" s="135"/>
      <c r="C98" s="135"/>
      <c r="D98" s="135"/>
      <c r="F98"/>
    </row>
    <row r="99" spans="1:13" x14ac:dyDescent="0.2">
      <c r="A99" s="135"/>
      <c r="B99" s="135"/>
      <c r="C99" s="135"/>
      <c r="D99" s="135"/>
      <c r="F99"/>
    </row>
    <row r="100" spans="1:13" x14ac:dyDescent="0.2">
      <c r="A100" s="135"/>
      <c r="B100" s="135"/>
      <c r="C100" s="135"/>
      <c r="D100" s="135"/>
      <c r="F100"/>
    </row>
    <row r="101" spans="1:13" s="13" customFormat="1" x14ac:dyDescent="0.2">
      <c r="A101" s="135"/>
      <c r="B101" s="135"/>
      <c r="C101" s="135"/>
      <c r="D101" s="135"/>
    </row>
    <row r="102" spans="1:13" s="13" customFormat="1" x14ac:dyDescent="0.2">
      <c r="A102" s="135"/>
      <c r="B102" s="135"/>
      <c r="C102" s="135"/>
      <c r="D102" s="135"/>
    </row>
    <row r="103" spans="1:13" s="13" customFormat="1" x14ac:dyDescent="0.2">
      <c r="A103" s="135"/>
      <c r="B103" s="135"/>
      <c r="C103" s="135"/>
      <c r="D103" s="135"/>
    </row>
    <row r="104" spans="1:13" s="14" customFormat="1" x14ac:dyDescent="0.2">
      <c r="A104" s="135"/>
      <c r="B104" s="135"/>
      <c r="C104" s="135"/>
      <c r="D104" s="135"/>
    </row>
    <row r="105" spans="1:13" s="13" customFormat="1" x14ac:dyDescent="0.2">
      <c r="A105" s="135"/>
      <c r="B105" s="135"/>
      <c r="C105" s="135"/>
      <c r="D105" s="135"/>
    </row>
    <row r="106" spans="1:13" s="13" customFormat="1" x14ac:dyDescent="0.2">
      <c r="A106" s="135"/>
      <c r="B106" s="135"/>
      <c r="C106" s="135"/>
      <c r="D106" s="135"/>
    </row>
    <row r="107" spans="1:13" x14ac:dyDescent="0.2">
      <c r="A107" s="135"/>
      <c r="B107" s="135"/>
      <c r="C107" s="135"/>
      <c r="D107" s="135"/>
      <c r="F107"/>
    </row>
    <row r="108" spans="1:13" x14ac:dyDescent="0.2">
      <c r="A108" s="135"/>
      <c r="B108" s="135"/>
      <c r="C108" s="135"/>
      <c r="D108" s="135"/>
      <c r="F108"/>
    </row>
    <row r="109" spans="1:13" ht="34.5" customHeight="1" x14ac:dyDescent="0.2">
      <c r="A109" s="135"/>
      <c r="B109" s="135"/>
      <c r="C109" s="135"/>
      <c r="D109" s="135"/>
      <c r="E109" s="25"/>
      <c r="F109" s="24"/>
      <c r="G109" s="25"/>
      <c r="H109" s="25"/>
      <c r="I109" s="26"/>
      <c r="J109" s="25"/>
      <c r="K109" s="25"/>
      <c r="L109" s="25"/>
      <c r="M109" s="3"/>
    </row>
    <row r="110" spans="1:13" x14ac:dyDescent="0.2">
      <c r="E110" s="25"/>
      <c r="F110" s="24"/>
      <c r="G110" s="25"/>
      <c r="H110" s="25"/>
      <c r="I110" s="26"/>
      <c r="J110" s="25"/>
      <c r="K110" s="25"/>
      <c r="L110" s="25"/>
      <c r="M110" s="3"/>
    </row>
    <row r="111" spans="1:13" x14ac:dyDescent="0.2">
      <c r="E111" s="25"/>
      <c r="F111" s="24"/>
      <c r="G111" s="25"/>
      <c r="H111" s="25"/>
      <c r="I111" s="26"/>
      <c r="J111" s="25"/>
      <c r="K111" s="25"/>
      <c r="L111" s="25"/>
      <c r="M111" s="3"/>
    </row>
  </sheetData>
  <mergeCells count="2">
    <mergeCell ref="A91:D109"/>
    <mergeCell ref="A2:E2"/>
  </mergeCells>
  <phoneticPr fontId="0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6"/>
  <sheetViews>
    <sheetView workbookViewId="0">
      <selection activeCell="C4" sqref="C4"/>
    </sheetView>
  </sheetViews>
  <sheetFormatPr baseColWidth="10" defaultRowHeight="12.75" x14ac:dyDescent="0.2"/>
  <cols>
    <col min="1" max="1" width="6.85546875" customWidth="1"/>
    <col min="2" max="2" width="11.42578125" customWidth="1"/>
    <col min="3" max="3" width="9.42578125" customWidth="1"/>
    <col min="5" max="5" width="10.5703125" customWidth="1"/>
    <col min="6" max="6" width="10" customWidth="1"/>
    <col min="7" max="7" width="13.140625" customWidth="1"/>
    <col min="11" max="11" width="8.42578125" customWidth="1"/>
    <col min="14" max="14" width="13.42578125" bestFit="1" customWidth="1"/>
  </cols>
  <sheetData>
    <row r="2" spans="1:7" x14ac:dyDescent="0.2">
      <c r="A2" t="s">
        <v>10</v>
      </c>
      <c r="C2" s="6">
        <v>0.12</v>
      </c>
      <c r="E2" s="108" t="s">
        <v>73</v>
      </c>
      <c r="F2" s="109"/>
      <c r="G2" s="109"/>
    </row>
    <row r="3" spans="1:7" x14ac:dyDescent="0.2">
      <c r="A3" t="s">
        <v>8</v>
      </c>
      <c r="C3" s="5">
        <v>0.14099999999999999</v>
      </c>
    </row>
    <row r="4" spans="1:7" x14ac:dyDescent="0.2">
      <c r="A4" t="s">
        <v>9</v>
      </c>
      <c r="C4">
        <v>1231</v>
      </c>
    </row>
    <row r="5" spans="1:7" x14ac:dyDescent="0.2">
      <c r="A5" t="s">
        <v>11</v>
      </c>
      <c r="C5" s="6">
        <v>0.02</v>
      </c>
    </row>
    <row r="6" spans="1:7" x14ac:dyDescent="0.2">
      <c r="A6" t="s">
        <v>14</v>
      </c>
      <c r="C6" s="5">
        <v>0.11799999999999999</v>
      </c>
    </row>
  </sheetData>
  <phoneticPr fontId="0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BF419F9B06754E9DBE1B70B28766F3" ma:contentTypeVersion="16" ma:contentTypeDescription="Opprett et nytt dokument." ma:contentTypeScope="" ma:versionID="4376f2cb00ccd3e8c40baa83e5180e30">
  <xsd:schema xmlns:xsd="http://www.w3.org/2001/XMLSchema" xmlns:xs="http://www.w3.org/2001/XMLSchema" xmlns:p="http://schemas.microsoft.com/office/2006/metadata/properties" xmlns:ns1="http://schemas.microsoft.com/sharepoint/v3" xmlns:ns3="64daf880-2b31-41e1-8842-90d100fd454f" xmlns:ns4="228ccc78-36fd-48c8-bea7-9c1f627215d7" targetNamespace="http://schemas.microsoft.com/office/2006/metadata/properties" ma:root="true" ma:fieldsID="880e3a251d239c7bb52ab39b23eb7cf3" ns1:_="" ns3:_="" ns4:_="">
    <xsd:import namespace="http://schemas.microsoft.com/sharepoint/v3"/>
    <xsd:import namespace="64daf880-2b31-41e1-8842-90d100fd454f"/>
    <xsd:import namespace="228ccc78-36fd-48c8-bea7-9c1f627215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af880-2b31-41e1-8842-90d100fd4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ccc78-36fd-48c8-bea7-9c1f627215d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D6DF79-BAE6-4726-AF57-267E109D1E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4daf880-2b31-41e1-8842-90d100fd454f"/>
    <ds:schemaRef ds:uri="228ccc78-36fd-48c8-bea7-9c1f627215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D73153-CC2D-4370-BEB1-42D36EC99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DC77EF-8A20-4799-9EA0-E18CE4BE49EE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228ccc78-36fd-48c8-bea7-9c1f627215d7"/>
    <ds:schemaRef ds:uri="http://schemas.microsoft.com/office/2006/documentManagement/types"/>
    <ds:schemaRef ds:uri="http://purl.org/dc/terms/"/>
    <ds:schemaRef ds:uri="64daf880-2b31-41e1-8842-90d100fd454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Årslønn</vt:lpstr>
      <vt:lpstr>Salgspris timer</vt:lpstr>
      <vt:lpstr>Avtale internt salg</vt:lpstr>
      <vt:lpstr>Lønnstabell</vt:lpstr>
      <vt:lpstr>div satser</vt:lpstr>
      <vt:lpstr>'Avtale internt salg'!Utskriftsområde</vt:lpstr>
    </vt:vector>
  </TitlesOfParts>
  <Company>Høgskolen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Forodden</dc:creator>
  <cp:lastModifiedBy>Anne Berit Canutte Grindstad</cp:lastModifiedBy>
  <cp:lastPrinted>2014-07-03T11:51:55Z</cp:lastPrinted>
  <dcterms:created xsi:type="dcterms:W3CDTF">2002-01-04T12:48:40Z</dcterms:created>
  <dcterms:modified xsi:type="dcterms:W3CDTF">2023-01-23T13:31:10Z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0x010100D2BF419F9B06754E9DBE1B70B28766F3</vt:lpwstr>
  </property>
</Properties>
</file>