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oa365-my.sharepoint.com/personal/tina_oslomet_no/Documents/"/>
    </mc:Choice>
  </mc:AlternateContent>
  <xr:revisionPtr revIDLastSave="0" documentId="8_{A1C3AB04-4881-4DD6-8ABA-980F465B55EE}" xr6:coauthVersionLast="47" xr6:coauthVersionMax="47" xr10:uidLastSave="{00000000-0000-0000-0000-000000000000}"/>
  <bookViews>
    <workbookView xWindow="-120" yWindow="-120" windowWidth="29040" windowHeight="15720" xr2:uid="{EE04E373-4DB3-4CC1-8840-3E78B604B843}"/>
  </bookViews>
  <sheets>
    <sheet name="Årslønn" sheetId="1" r:id="rId1"/>
    <sheet name="Timelønn" sheetId="3" r:id="rId2"/>
    <sheet name="Salgspris timer" sheetId="4" r:id="rId3"/>
    <sheet name="Div satser" sheetId="2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H5" i="3"/>
  <c r="J15" i="1" l="1"/>
  <c r="F15" i="1"/>
  <c r="M15" i="1" s="1"/>
  <c r="N15" i="1" s="1"/>
  <c r="D11" i="4"/>
  <c r="E11" i="4" s="1"/>
  <c r="G11" i="4"/>
  <c r="J11" i="4"/>
  <c r="K11" i="4" s="1"/>
  <c r="D12" i="4"/>
  <c r="E12" i="4" s="1"/>
  <c r="G12" i="4"/>
  <c r="J12" i="4"/>
  <c r="K12" i="4" s="1"/>
  <c r="D13" i="4"/>
  <c r="E13" i="4" s="1"/>
  <c r="G13" i="4"/>
  <c r="J13" i="4"/>
  <c r="K13" i="4" s="1"/>
  <c r="D14" i="4"/>
  <c r="E14" i="4" s="1"/>
  <c r="G14" i="4"/>
  <c r="J14" i="4"/>
  <c r="K14" i="4" s="1"/>
  <c r="D15" i="4"/>
  <c r="E15" i="4" s="1"/>
  <c r="G15" i="4"/>
  <c r="J15" i="4"/>
  <c r="K15" i="4" s="1"/>
  <c r="D16" i="4"/>
  <c r="E16" i="4" s="1"/>
  <c r="G16" i="4"/>
  <c r="J16" i="4"/>
  <c r="K16" i="4" s="1"/>
  <c r="D12" i="3"/>
  <c r="I12" i="3" s="1"/>
  <c r="J12" i="3" s="1"/>
  <c r="E12" i="3"/>
  <c r="F12" i="3" s="1"/>
  <c r="H12" i="3" s="1"/>
  <c r="D13" i="3"/>
  <c r="I13" i="3" s="1"/>
  <c r="J13" i="3" s="1"/>
  <c r="E13" i="3"/>
  <c r="F13" i="3" s="1"/>
  <c r="H13" i="3" s="1"/>
  <c r="D14" i="3"/>
  <c r="E14" i="3"/>
  <c r="F14" i="3" s="1"/>
  <c r="H14" i="3" s="1"/>
  <c r="G14" i="3"/>
  <c r="I14" i="3"/>
  <c r="J14" i="3" s="1"/>
  <c r="D15" i="3"/>
  <c r="I15" i="3" s="1"/>
  <c r="J15" i="3" s="1"/>
  <c r="E15" i="3"/>
  <c r="F15" i="3" s="1"/>
  <c r="H15" i="3" s="1"/>
  <c r="D16" i="3"/>
  <c r="I16" i="3" s="1"/>
  <c r="J16" i="3" s="1"/>
  <c r="E16" i="3"/>
  <c r="G16" i="3" s="1"/>
  <c r="F16" i="3"/>
  <c r="H16" i="3" s="1"/>
  <c r="J16" i="1"/>
  <c r="F16" i="1"/>
  <c r="G16" i="1" s="1"/>
  <c r="J14" i="1"/>
  <c r="F14" i="1"/>
  <c r="G14" i="1" s="1"/>
  <c r="J13" i="1"/>
  <c r="F13" i="1"/>
  <c r="G13" i="1" s="1"/>
  <c r="J12" i="1"/>
  <c r="F12" i="1"/>
  <c r="G12" i="1" s="1"/>
  <c r="J11" i="1"/>
  <c r="F11" i="1"/>
  <c r="G11" i="1" s="1"/>
  <c r="J10" i="1"/>
  <c r="F10" i="1"/>
  <c r="M10" i="1" s="1"/>
  <c r="N10" i="1" s="1"/>
  <c r="L18" i="4"/>
  <c r="J8" i="4"/>
  <c r="K8" i="4" s="1"/>
  <c r="J9" i="4"/>
  <c r="K9" i="4" s="1"/>
  <c r="J10" i="4"/>
  <c r="K10" i="4" s="1"/>
  <c r="J7" i="4"/>
  <c r="K7" i="4" s="1"/>
  <c r="G8" i="4"/>
  <c r="G9" i="4"/>
  <c r="G10" i="4"/>
  <c r="G7" i="4"/>
  <c r="D8" i="4"/>
  <c r="E8" i="4" s="1"/>
  <c r="H8" i="4" s="1"/>
  <c r="D9" i="4"/>
  <c r="E9" i="4" s="1"/>
  <c r="D10" i="4"/>
  <c r="E10" i="4" s="1"/>
  <c r="D7" i="4"/>
  <c r="E7" i="4" s="1"/>
  <c r="F7" i="4" s="1"/>
  <c r="I7" i="4" s="1"/>
  <c r="K5" i="4"/>
  <c r="F10" i="3"/>
  <c r="H10" i="3" s="1"/>
  <c r="E8" i="3"/>
  <c r="F8" i="3" s="1"/>
  <c r="H8" i="3" s="1"/>
  <c r="E9" i="3"/>
  <c r="G9" i="3" s="1"/>
  <c r="E10" i="3"/>
  <c r="G10" i="3" s="1"/>
  <c r="F11" i="3"/>
  <c r="H11" i="3" s="1"/>
  <c r="E7" i="3"/>
  <c r="G7" i="3" s="1"/>
  <c r="D8" i="3"/>
  <c r="I8" i="3" s="1"/>
  <c r="J8" i="3" s="1"/>
  <c r="D9" i="3"/>
  <c r="I9" i="3" s="1"/>
  <c r="J9" i="3" s="1"/>
  <c r="D10" i="3"/>
  <c r="I10" i="3" s="1"/>
  <c r="J10" i="3" s="1"/>
  <c r="D11" i="3"/>
  <c r="I11" i="3" s="1"/>
  <c r="J11" i="3" s="1"/>
  <c r="D7" i="3"/>
  <c r="I7" i="3" s="1"/>
  <c r="J7" i="3" s="1"/>
  <c r="F8" i="1"/>
  <c r="M8" i="1" s="1"/>
  <c r="N8" i="1" s="1"/>
  <c r="F9" i="1"/>
  <c r="M9" i="1" s="1"/>
  <c r="N9" i="1" s="1"/>
  <c r="F7" i="1"/>
  <c r="G7" i="1" s="1"/>
  <c r="H7" i="1" s="1"/>
  <c r="J9" i="1"/>
  <c r="J8" i="1"/>
  <c r="J7" i="1"/>
  <c r="G15" i="3" l="1"/>
  <c r="G12" i="3"/>
  <c r="G15" i="1"/>
  <c r="H15" i="1" s="1"/>
  <c r="K15" i="1" s="1"/>
  <c r="H13" i="4"/>
  <c r="F13" i="4"/>
  <c r="I13" i="4" s="1"/>
  <c r="F15" i="4"/>
  <c r="I15" i="4" s="1"/>
  <c r="H15" i="4"/>
  <c r="F12" i="4"/>
  <c r="I12" i="4" s="1"/>
  <c r="H12" i="4"/>
  <c r="F14" i="4"/>
  <c r="I14" i="4" s="1"/>
  <c r="H14" i="4"/>
  <c r="L14" i="4" s="1"/>
  <c r="M14" i="4" s="1"/>
  <c r="N14" i="4" s="1"/>
  <c r="F16" i="4"/>
  <c r="I16" i="4" s="1"/>
  <c r="H16" i="4"/>
  <c r="F11" i="4"/>
  <c r="I11" i="4" s="1"/>
  <c r="H11" i="4"/>
  <c r="F8" i="4"/>
  <c r="I8" i="4" s="1"/>
  <c r="H7" i="4"/>
  <c r="G13" i="3"/>
  <c r="K16" i="3"/>
  <c r="K15" i="3"/>
  <c r="K14" i="3"/>
  <c r="K13" i="3"/>
  <c r="K12" i="3"/>
  <c r="F9" i="3"/>
  <c r="H9" i="3" s="1"/>
  <c r="G8" i="3"/>
  <c r="F7" i="3"/>
  <c r="H7" i="3" s="1"/>
  <c r="G11" i="3"/>
  <c r="G9" i="1"/>
  <c r="I9" i="1" s="1"/>
  <c r="L9" i="1" s="1"/>
  <c r="M7" i="1"/>
  <c r="N7" i="1" s="1"/>
  <c r="M12" i="1"/>
  <c r="N12" i="1" s="1"/>
  <c r="G10" i="1"/>
  <c r="I16" i="1"/>
  <c r="L16" i="1" s="1"/>
  <c r="H16" i="1"/>
  <c r="M16" i="1"/>
  <c r="N16" i="1" s="1"/>
  <c r="I14" i="1"/>
  <c r="L14" i="1" s="1"/>
  <c r="H14" i="1"/>
  <c r="M14" i="1"/>
  <c r="N14" i="1" s="1"/>
  <c r="I13" i="1"/>
  <c r="L13" i="1" s="1"/>
  <c r="H13" i="1"/>
  <c r="M13" i="1"/>
  <c r="N13" i="1" s="1"/>
  <c r="I12" i="1"/>
  <c r="L12" i="1" s="1"/>
  <c r="H12" i="1"/>
  <c r="H11" i="1"/>
  <c r="K11" i="1" s="1"/>
  <c r="I11" i="1"/>
  <c r="L11" i="1" s="1"/>
  <c r="M11" i="1"/>
  <c r="N11" i="1" s="1"/>
  <c r="K7" i="1"/>
  <c r="G8" i="1"/>
  <c r="H8" i="1" s="1"/>
  <c r="K8" i="1" s="1"/>
  <c r="F9" i="4"/>
  <c r="I9" i="4" s="1"/>
  <c r="H9" i="4"/>
  <c r="L9" i="4" s="1"/>
  <c r="M9" i="4" s="1"/>
  <c r="N9" i="4" s="1"/>
  <c r="F10" i="4"/>
  <c r="I10" i="4" s="1"/>
  <c r="H10" i="4"/>
  <c r="K7" i="3"/>
  <c r="H9" i="1"/>
  <c r="K9" i="1" s="1"/>
  <c r="I7" i="1"/>
  <c r="L7" i="1" s="1"/>
  <c r="L13" i="4" l="1"/>
  <c r="M13" i="4" s="1"/>
  <c r="N13" i="4" s="1"/>
  <c r="I15" i="1"/>
  <c r="L15" i="1" s="1"/>
  <c r="K9" i="3"/>
  <c r="L16" i="4"/>
  <c r="M16" i="4" s="1"/>
  <c r="N16" i="4" s="1"/>
  <c r="L11" i="4"/>
  <c r="M11" i="4" s="1"/>
  <c r="N11" i="4" s="1"/>
  <c r="L12" i="4"/>
  <c r="M12" i="4" s="1"/>
  <c r="N12" i="4" s="1"/>
  <c r="L15" i="4"/>
  <c r="M15" i="4" s="1"/>
  <c r="N15" i="4" s="1"/>
  <c r="H10" i="1"/>
  <c r="I10" i="1"/>
  <c r="L10" i="1" s="1"/>
  <c r="O7" i="1"/>
  <c r="K16" i="1"/>
  <c r="O16" i="1" s="1"/>
  <c r="K14" i="1"/>
  <c r="O14" i="1" s="1"/>
  <c r="K13" i="1"/>
  <c r="O13" i="1" s="1"/>
  <c r="K12" i="1"/>
  <c r="O12" i="1" s="1"/>
  <c r="O11" i="1"/>
  <c r="I8" i="1"/>
  <c r="L8" i="1" s="1"/>
  <c r="O8" i="1" s="1"/>
  <c r="L10" i="4"/>
  <c r="M10" i="4" s="1"/>
  <c r="N10" i="4" s="1"/>
  <c r="L7" i="4"/>
  <c r="M7" i="4" s="1"/>
  <c r="N7" i="4" s="1"/>
  <c r="L8" i="4"/>
  <c r="M8" i="4" s="1"/>
  <c r="N8" i="4" s="1"/>
  <c r="K10" i="3"/>
  <c r="K8" i="3"/>
  <c r="K11" i="3"/>
  <c r="O9" i="1"/>
  <c r="O15" i="1" l="1"/>
  <c r="K10" i="1"/>
  <c r="O10" i="1" s="1"/>
</calcChain>
</file>

<file path=xl/sharedStrings.xml><?xml version="1.0" encoding="utf-8"?>
<sst xmlns="http://schemas.openxmlformats.org/spreadsheetml/2006/main" count="57" uniqueCount="40">
  <si>
    <t>Årslønn</t>
  </si>
  <si>
    <t xml:space="preserve"> </t>
  </si>
  <si>
    <t>Navn</t>
  </si>
  <si>
    <t>ant mnd *)</t>
  </si>
  <si>
    <t>Brutto årslønn -OU</t>
  </si>
  <si>
    <t xml:space="preserve">Fast lønn konto </t>
  </si>
  <si>
    <t>Feriepenger konto</t>
  </si>
  <si>
    <t xml:space="preserve">Gruppelivs
premie </t>
  </si>
  <si>
    <t xml:space="preserve">Arb.giveravg av fast lønn </t>
  </si>
  <si>
    <t>Pensjon arb.giver andel</t>
  </si>
  <si>
    <t xml:space="preserve">Sum lønnsutgifter </t>
  </si>
  <si>
    <t>Feriepenger</t>
  </si>
  <si>
    <t>Arbeidsgiveravgift</t>
  </si>
  <si>
    <t>Gruppeliv</t>
  </si>
  <si>
    <t>Pensjon</t>
  </si>
  <si>
    <t>Pensjon arbeidsgiver</t>
  </si>
  <si>
    <t>Brutto årslønn 100%</t>
  </si>
  <si>
    <t>Brutto årslønn prosent</t>
  </si>
  <si>
    <t xml:space="preserve">Timelønn </t>
  </si>
  <si>
    <t xml:space="preserve">Brukes for å beregne totalkostnad pr time, f.eks lønn til timelærere - se også nedenfor!! </t>
  </si>
  <si>
    <t>Antall timer</t>
  </si>
  <si>
    <t>Brutto lønn</t>
  </si>
  <si>
    <t xml:space="preserve">Arb.giveravg av feriepenger </t>
  </si>
  <si>
    <t xml:space="preserve">Sum timelønn inkl pensjons- kostnader </t>
  </si>
  <si>
    <t xml:space="preserve">Arb.giveravg av pensjon arb.giver </t>
  </si>
  <si>
    <t>Produktive timer</t>
  </si>
  <si>
    <t>Salgspris timer (uten indirekte kostnader) basert på produktive timer</t>
  </si>
  <si>
    <t>Salgspris</t>
  </si>
  <si>
    <t xml:space="preserve">Salgspris uten indirekte kostnader pr time. </t>
  </si>
  <si>
    <t>Stilling %</t>
  </si>
  <si>
    <t>ant lønns- mnd *)</t>
  </si>
  <si>
    <t>Ferie- penger konto</t>
  </si>
  <si>
    <t>AGA lønn</t>
  </si>
  <si>
    <t>AGA pensjon arb.giver</t>
  </si>
  <si>
    <t xml:space="preserve">AGA ferie- penger </t>
  </si>
  <si>
    <t xml:space="preserve">AGA fast lønn </t>
  </si>
  <si>
    <t>AGA ferie- penger</t>
  </si>
  <si>
    <t xml:space="preserve">Gruppeliv
premie </t>
  </si>
  <si>
    <t>Estimat besert på regnskap 2024</t>
  </si>
  <si>
    <t>Oppdatert med nye satser pr 01.01.25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</si>
</sst>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5" xfId="0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3" fontId="0" fillId="0" borderId="6" xfId="0" applyNumberFormat="1" applyBorder="1"/>
    <xf numFmtId="0" fontId="0" fillId="2" borderId="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3" fontId="0" fillId="0" borderId="10" xfId="0" applyNumberFormat="1" applyBorder="1"/>
    <xf numFmtId="0" fontId="0" fillId="0" borderId="0" xfId="0" applyAlignment="1">
      <alignment horizontal="left"/>
    </xf>
    <xf numFmtId="9" fontId="0" fillId="0" borderId="0" xfId="0" applyNumberFormat="1"/>
    <xf numFmtId="10" fontId="0" fillId="0" borderId="0" xfId="0" applyNumberFormat="1"/>
    <xf numFmtId="2" fontId="0" fillId="0" borderId="0" xfId="0" applyNumberFormat="1"/>
    <xf numFmtId="3" fontId="0" fillId="2" borderId="6" xfId="0" applyNumberFormat="1" applyFill="1" applyBorder="1" applyProtection="1">
      <protection locked="0"/>
    </xf>
    <xf numFmtId="3" fontId="0" fillId="2" borderId="10" xfId="0" applyNumberForma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3" fontId="0" fillId="0" borderId="18" xfId="0" applyNumberFormat="1" applyBorder="1"/>
    <xf numFmtId="3" fontId="3" fillId="0" borderId="19" xfId="0" applyNumberFormat="1" applyFont="1" applyBorder="1"/>
    <xf numFmtId="3" fontId="3" fillId="0" borderId="7" xfId="0" applyNumberFormat="1" applyFont="1" applyBorder="1"/>
    <xf numFmtId="0" fontId="3" fillId="2" borderId="21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3" fontId="3" fillId="0" borderId="11" xfId="0" applyNumberFormat="1" applyFont="1" applyBorder="1"/>
    <xf numFmtId="3" fontId="0" fillId="0" borderId="0" xfId="0" applyNumberFormat="1"/>
    <xf numFmtId="3" fontId="0" fillId="0" borderId="23" xfId="0" applyNumberFormat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3" fontId="0" fillId="0" borderId="7" xfId="0" applyNumberFormat="1" applyBorder="1"/>
    <xf numFmtId="3" fontId="5" fillId="0" borderId="8" xfId="0" applyNumberFormat="1" applyFont="1" applyBorder="1"/>
    <xf numFmtId="0" fontId="3" fillId="0" borderId="0" xfId="0" applyFont="1" applyAlignment="1">
      <alignment horizontal="center"/>
    </xf>
    <xf numFmtId="3" fontId="0" fillId="2" borderId="22" xfId="0" applyNumberFormat="1" applyFill="1" applyBorder="1" applyProtection="1">
      <protection locked="0"/>
    </xf>
    <xf numFmtId="0" fontId="6" fillId="0" borderId="0" xfId="0" applyFont="1"/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2" fontId="4" fillId="0" borderId="16" xfId="0" applyNumberFormat="1" applyFont="1" applyBorder="1" applyAlignment="1">
      <alignment vertical="top" wrapText="1"/>
    </xf>
    <xf numFmtId="3" fontId="0" fillId="2" borderId="18" xfId="0" applyNumberFormat="1" applyFill="1" applyBorder="1" applyProtection="1">
      <protection locked="0"/>
    </xf>
    <xf numFmtId="4" fontId="8" fillId="0" borderId="24" xfId="0" applyNumberFormat="1" applyFont="1" applyBorder="1"/>
    <xf numFmtId="4" fontId="8" fillId="0" borderId="25" xfId="0" applyNumberFormat="1" applyFont="1" applyBorder="1"/>
    <xf numFmtId="0" fontId="7" fillId="0" borderId="26" xfId="0" applyFont="1" applyBorder="1" applyAlignment="1">
      <alignment vertical="top" wrapText="1"/>
    </xf>
    <xf numFmtId="4" fontId="1" fillId="0" borderId="8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0" fontId="0" fillId="2" borderId="21" xfId="0" applyFill="1" applyBorder="1" applyProtection="1">
      <protection locked="0"/>
    </xf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3" fillId="2" borderId="13" xfId="0" applyFont="1" applyFill="1" applyBorder="1" applyProtection="1">
      <protection locked="0"/>
    </xf>
    <xf numFmtId="3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3" fontId="0" fillId="0" borderId="14" xfId="0" applyNumberFormat="1" applyBorder="1"/>
    <xf numFmtId="3" fontId="0" fillId="0" borderId="15" xfId="0" applyNumberFormat="1" applyBorder="1"/>
    <xf numFmtId="3" fontId="5" fillId="0" borderId="16" xfId="0" applyNumberFormat="1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3" fontId="0" fillId="0" borderId="11" xfId="0" applyNumberFormat="1" applyBorder="1"/>
    <xf numFmtId="3" fontId="5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18</xdr:row>
      <xdr:rowOff>22224</xdr:rowOff>
    </xdr:from>
    <xdr:ext cx="10020300" cy="1890287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459B1D5-6463-4C5B-B5DC-73A219DE35BC}"/>
            </a:ext>
          </a:extLst>
        </xdr:cNvPr>
        <xdr:cNvSpPr txBox="1"/>
      </xdr:nvSpPr>
      <xdr:spPr>
        <a:xfrm>
          <a:off x="104775" y="3803649"/>
          <a:ext cx="10020300" cy="189028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500" b="1"/>
            <a:t>*) </a:t>
          </a:r>
          <a:r>
            <a:rPr lang="nb-NO" sz="1500"/>
            <a:t> </a:t>
          </a:r>
          <a:r>
            <a:rPr lang="nb-NO" sz="1500" b="1"/>
            <a:t>Feltene "ant mnd" og "ant lønnsmnd" må fylles ut</a:t>
          </a:r>
        </a:p>
        <a:p>
          <a:endParaRPr lang="nb-NO" sz="1500"/>
        </a:p>
        <a:p>
          <a:r>
            <a:rPr lang="nb-NO" sz="1500" b="1"/>
            <a:t>Eks. </a:t>
          </a:r>
        </a:p>
        <a:p>
          <a:r>
            <a:rPr lang="nb-NO" sz="1500" b="1"/>
            <a:t>Kari arbeider januar tom mai - antall måneder blir da 5 og antall lønnsmåneder 5.</a:t>
          </a:r>
        </a:p>
        <a:p>
          <a:r>
            <a:rPr lang="nb-NO" sz="1500" b="1"/>
            <a:t>Ola arbeider januar tom</a:t>
          </a:r>
          <a:r>
            <a:rPr lang="nb-NO" sz="1500" b="1" baseline="0"/>
            <a:t> august - antall måneder blir da 8 og antall lønnsmåneder blir 6,85 (dette forutsettes at han avvikler ferie før utgangen av august)</a:t>
          </a:r>
        </a:p>
        <a:p>
          <a:r>
            <a:rPr lang="nb-NO" sz="1500" b="1"/>
            <a:t>Åse arbeider januar tom desember - antall måneder blir da 12 og ant lønnsmåneder blir 10,85</a:t>
          </a:r>
          <a:r>
            <a:rPr lang="nb-NO" sz="1500"/>
            <a:t>.</a:t>
          </a:r>
        </a:p>
        <a:p>
          <a:endParaRPr lang="nb-NO" sz="1500"/>
        </a:p>
        <a:p>
          <a:endParaRPr lang="nb-N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92075</xdr:colOff>
      <xdr:row>18</xdr:row>
      <xdr:rowOff>38099</xdr:rowOff>
    </xdr:from>
    <xdr:ext cx="8794750" cy="97155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93CE9B9-A1BB-43A6-A81C-E9E4A53DE4FE}"/>
            </a:ext>
          </a:extLst>
        </xdr:cNvPr>
        <xdr:cNvSpPr txBox="1"/>
      </xdr:nvSpPr>
      <xdr:spPr>
        <a:xfrm>
          <a:off x="92075" y="3981449"/>
          <a:ext cx="8794750" cy="97155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500" b="1"/>
            <a:t>Obs! Denne skal IKKE brukes til å beregne kostnader ved salg av tjenester. Se "Salgspris timer"</a:t>
          </a:r>
        </a:p>
        <a:p>
          <a:endParaRPr lang="nb-NO" sz="15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19</xdr:row>
      <xdr:rowOff>9525</xdr:rowOff>
    </xdr:from>
    <xdr:ext cx="6191250" cy="97155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4BE41ED-9676-446D-80C5-E4340B834B89}"/>
            </a:ext>
          </a:extLst>
        </xdr:cNvPr>
        <xdr:cNvSpPr txBox="1"/>
      </xdr:nvSpPr>
      <xdr:spPr>
        <a:xfrm>
          <a:off x="47625" y="4200525"/>
          <a:ext cx="6191250" cy="97155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500" b="1"/>
            <a:t>Brukes til å beregne kostnader i forbindelse med salg</a:t>
          </a:r>
          <a:r>
            <a:rPr lang="nb-NO" sz="1500" b="1" baseline="0"/>
            <a:t> av tjenester; internt og eksternt</a:t>
          </a:r>
        </a:p>
        <a:p>
          <a:endParaRPr lang="nb-NO" sz="1500" b="1"/>
        </a:p>
        <a:p>
          <a:endParaRPr lang="nb-NO" sz="15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eri\Downloads\L&#248;nnsmal%2001.05.23-30.04.24%20oppdatert%2001.01.2024.xls" TargetMode="External"/><Relationship Id="rId1" Type="http://schemas.openxmlformats.org/officeDocument/2006/relationships/externalLinkPath" Target="file:///C:\Users\beri\Downloads\L&#248;nnsmal%2001.05.23-30.04.24%20oppdatert%2001.01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Årslønn"/>
      <sheetName val="Salgspris timer"/>
      <sheetName val="Timelønn"/>
      <sheetName val="Lønnstabell"/>
      <sheetName val="div satser"/>
    </sheetNames>
    <sheetDataSet>
      <sheetData sheetId="0">
        <row r="5">
          <cell r="L5" t="str">
            <v>Oppdatert med nye satser pr 01.01.24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67B2D-9B6B-40A6-978D-74A7C56E60CF}">
  <dimension ref="A2:O31"/>
  <sheetViews>
    <sheetView tabSelected="1" workbookViewId="0">
      <selection activeCell="A2" sqref="A2"/>
    </sheetView>
  </sheetViews>
  <sheetFormatPr baseColWidth="10" defaultRowHeight="15" x14ac:dyDescent="0.25"/>
  <cols>
    <col min="1" max="1" width="36.7109375" customWidth="1"/>
    <col min="2" max="2" width="11" customWidth="1"/>
    <col min="3" max="3" width="6.5703125" customWidth="1"/>
    <col min="4" max="4" width="6.42578125" customWidth="1"/>
    <col min="5" max="5" width="8.85546875" customWidth="1"/>
    <col min="6" max="7" width="0" hidden="1" customWidth="1"/>
    <col min="8" max="8" width="10.140625" customWidth="1"/>
    <col min="9" max="9" width="9.7109375" customWidth="1"/>
    <col min="10" max="10" width="9.140625" customWidth="1"/>
    <col min="11" max="11" width="10.42578125" customWidth="1"/>
    <col min="12" max="12" width="10" customWidth="1"/>
    <col min="13" max="13" width="9.85546875" customWidth="1"/>
    <col min="14" max="14" width="11" customWidth="1"/>
  </cols>
  <sheetData>
    <row r="2" spans="1:15" ht="19.5" x14ac:dyDescent="0.3">
      <c r="A2" s="27" t="s">
        <v>0</v>
      </c>
      <c r="C2" s="28"/>
    </row>
    <row r="3" spans="1:15" x14ac:dyDescent="0.25">
      <c r="C3" s="28"/>
      <c r="G3" t="s">
        <v>1</v>
      </c>
    </row>
    <row r="4" spans="1:15" x14ac:dyDescent="0.25">
      <c r="B4" s="29" t="s">
        <v>1</v>
      </c>
      <c r="C4" s="28"/>
      <c r="F4" s="29"/>
      <c r="L4" s="29"/>
    </row>
    <row r="5" spans="1:15" ht="15.75" thickBot="1" x14ac:dyDescent="0.3">
      <c r="C5" s="28"/>
      <c r="L5" s="29" t="s">
        <v>39</v>
      </c>
    </row>
    <row r="6" spans="1:15" ht="36.75" thickBot="1" x14ac:dyDescent="0.3">
      <c r="A6" s="30" t="s">
        <v>2</v>
      </c>
      <c r="B6" s="31" t="s">
        <v>16</v>
      </c>
      <c r="C6" s="31" t="s">
        <v>29</v>
      </c>
      <c r="D6" s="31" t="s">
        <v>3</v>
      </c>
      <c r="E6" s="31" t="s">
        <v>30</v>
      </c>
      <c r="F6" s="31" t="s">
        <v>17</v>
      </c>
      <c r="G6" s="31" t="s">
        <v>4</v>
      </c>
      <c r="H6" s="31" t="s">
        <v>5</v>
      </c>
      <c r="I6" s="31" t="s">
        <v>31</v>
      </c>
      <c r="J6" s="31" t="s">
        <v>37</v>
      </c>
      <c r="K6" s="31" t="s">
        <v>35</v>
      </c>
      <c r="L6" s="31" t="s">
        <v>36</v>
      </c>
      <c r="M6" s="31" t="s">
        <v>9</v>
      </c>
      <c r="N6" s="32" t="s">
        <v>33</v>
      </c>
      <c r="O6" s="33" t="s">
        <v>10</v>
      </c>
    </row>
    <row r="7" spans="1:15" x14ac:dyDescent="0.25">
      <c r="A7" s="55"/>
      <c r="B7" s="56">
        <v>450000</v>
      </c>
      <c r="C7" s="57">
        <v>100</v>
      </c>
      <c r="D7" s="58">
        <v>12</v>
      </c>
      <c r="E7" s="58">
        <v>10.85</v>
      </c>
      <c r="F7" s="59">
        <f t="shared" ref="F7:F16" si="0">B7*C7%</f>
        <v>450000</v>
      </c>
      <c r="G7" s="59">
        <f t="shared" ref="G7:G16" si="1">F7-400*C7%</f>
        <v>449600</v>
      </c>
      <c r="H7" s="59">
        <f t="shared" ref="H7:H16" si="2">G7/12*E7</f>
        <v>406513.33333333331</v>
      </c>
      <c r="I7" s="59">
        <f>G7/12*E7*'Div satser'!$C$2</f>
        <v>48781.599999999999</v>
      </c>
      <c r="J7" s="59">
        <f>'Div satser'!$C$4/12*D7</f>
        <v>1730</v>
      </c>
      <c r="K7" s="59">
        <f>(H7+J7)*'Div satser'!$C$3</f>
        <v>57562.30999999999</v>
      </c>
      <c r="L7" s="59">
        <f>I7*'Div satser'!$C$3</f>
        <v>6878.2055999999993</v>
      </c>
      <c r="M7" s="59">
        <f>(F7*'Div satser'!$C$6)/12*D7</f>
        <v>45000</v>
      </c>
      <c r="N7" s="60">
        <f>M7*'Div satser'!$C$3</f>
        <v>6344.9999999999991</v>
      </c>
      <c r="O7" s="61">
        <f t="shared" ref="O7:O8" si="3">SUM(H7:N7)</f>
        <v>572810.44893333327</v>
      </c>
    </row>
    <row r="8" spans="1:15" x14ac:dyDescent="0.25">
      <c r="A8" s="1"/>
      <c r="B8" s="13">
        <v>500000</v>
      </c>
      <c r="C8" s="2">
        <v>100</v>
      </c>
      <c r="D8" s="3">
        <v>12</v>
      </c>
      <c r="E8" s="3">
        <v>10.85</v>
      </c>
      <c r="F8" s="4">
        <f t="shared" si="0"/>
        <v>500000</v>
      </c>
      <c r="G8" s="4">
        <f t="shared" si="1"/>
        <v>499600</v>
      </c>
      <c r="H8" s="4">
        <f t="shared" si="2"/>
        <v>451721.66666666669</v>
      </c>
      <c r="I8" s="4">
        <f>G8/12*E8*'Div satser'!$C$2</f>
        <v>54206.6</v>
      </c>
      <c r="J8" s="4">
        <f>'Div satser'!$C$4/12*D8</f>
        <v>1730</v>
      </c>
      <c r="K8" s="4">
        <f>(H8+J8)*'Div satser'!$C$3</f>
        <v>63936.684999999998</v>
      </c>
      <c r="L8" s="4">
        <f>I8*'Div satser'!$C$3</f>
        <v>7643.1305999999995</v>
      </c>
      <c r="M8" s="4">
        <f>(F8*'Div satser'!$C$6)/12*D8</f>
        <v>50000</v>
      </c>
      <c r="N8" s="34">
        <f>M8*'Div satser'!$C$3</f>
        <v>7049.9999999999991</v>
      </c>
      <c r="O8" s="35">
        <f t="shared" si="3"/>
        <v>636288.08226666669</v>
      </c>
    </row>
    <row r="9" spans="1:15" x14ac:dyDescent="0.25">
      <c r="A9" s="1"/>
      <c r="B9" s="13">
        <v>550000</v>
      </c>
      <c r="C9" s="2">
        <v>100</v>
      </c>
      <c r="D9" s="3">
        <v>12</v>
      </c>
      <c r="E9" s="3">
        <v>10.85</v>
      </c>
      <c r="F9" s="4">
        <f t="shared" si="0"/>
        <v>550000</v>
      </c>
      <c r="G9" s="4">
        <f t="shared" si="1"/>
        <v>549600</v>
      </c>
      <c r="H9" s="4">
        <f t="shared" si="2"/>
        <v>496930</v>
      </c>
      <c r="I9" s="4">
        <f>G9/12*E9*'Div satser'!$C$2</f>
        <v>59631.6</v>
      </c>
      <c r="J9" s="4">
        <f>'Div satser'!$C$4/12*D9</f>
        <v>1730</v>
      </c>
      <c r="K9" s="4">
        <f>(H9+J9)*'Div satser'!$C$3</f>
        <v>70311.06</v>
      </c>
      <c r="L9" s="4">
        <f>I9*'Div satser'!$C$3</f>
        <v>8408.0555999999997</v>
      </c>
      <c r="M9" s="4">
        <f>(F9*'Div satser'!$C$6)/12*D9</f>
        <v>55000</v>
      </c>
      <c r="N9" s="34">
        <f>M9*'Div satser'!$C$3</f>
        <v>7754.9999999999991</v>
      </c>
      <c r="O9" s="35">
        <f t="shared" ref="O9:O16" si="4">SUM(H9:N9)</f>
        <v>699765.71559999988</v>
      </c>
    </row>
    <row r="10" spans="1:15" x14ac:dyDescent="0.25">
      <c r="A10" s="1"/>
      <c r="B10" s="13">
        <v>600000</v>
      </c>
      <c r="C10" s="2">
        <v>100</v>
      </c>
      <c r="D10" s="3">
        <v>12</v>
      </c>
      <c r="E10" s="3">
        <v>10.85</v>
      </c>
      <c r="F10" s="4">
        <f t="shared" si="0"/>
        <v>600000</v>
      </c>
      <c r="G10" s="4">
        <f t="shared" si="1"/>
        <v>599600</v>
      </c>
      <c r="H10" s="4">
        <f t="shared" si="2"/>
        <v>542138.33333333326</v>
      </c>
      <c r="I10" s="4">
        <f>G10/12*E10*'Div satser'!$C$2</f>
        <v>65056.599999999991</v>
      </c>
      <c r="J10" s="4">
        <f>'Div satser'!$C$4/12*D10</f>
        <v>1730</v>
      </c>
      <c r="K10" s="4">
        <f>(H10+J10)*'Div satser'!$C$3</f>
        <v>76685.434999999983</v>
      </c>
      <c r="L10" s="4">
        <f>I10*'Div satser'!$C$3</f>
        <v>9172.9805999999971</v>
      </c>
      <c r="M10" s="4">
        <f>(F10*'Div satser'!$C$6)/12*D10</f>
        <v>60000</v>
      </c>
      <c r="N10" s="34">
        <f>M10*'Div satser'!$C$3</f>
        <v>8460</v>
      </c>
      <c r="O10" s="35">
        <f t="shared" si="4"/>
        <v>763243.34893333318</v>
      </c>
    </row>
    <row r="11" spans="1:15" x14ac:dyDescent="0.25">
      <c r="A11" s="1"/>
      <c r="B11" s="13">
        <v>650000</v>
      </c>
      <c r="C11" s="2">
        <v>100</v>
      </c>
      <c r="D11" s="3">
        <v>12</v>
      </c>
      <c r="E11" s="3">
        <v>10.85</v>
      </c>
      <c r="F11" s="4">
        <f t="shared" si="0"/>
        <v>650000</v>
      </c>
      <c r="G11" s="4">
        <f t="shared" si="1"/>
        <v>649600</v>
      </c>
      <c r="H11" s="4">
        <f t="shared" si="2"/>
        <v>587346.66666666663</v>
      </c>
      <c r="I11" s="4">
        <f>G11/12*E11*'Div satser'!$C$2</f>
        <v>70481.599999999991</v>
      </c>
      <c r="J11" s="4">
        <f>'Div satser'!$C$4/12*D11</f>
        <v>1730</v>
      </c>
      <c r="K11" s="4">
        <f>(H11+J11)*'Div satser'!$C$3</f>
        <v>83059.809999999983</v>
      </c>
      <c r="L11" s="4">
        <f>I11*'Div satser'!$C$3</f>
        <v>9937.9055999999982</v>
      </c>
      <c r="M11" s="4">
        <f>(F11*'Div satser'!$C$6)/12*D11</f>
        <v>65000</v>
      </c>
      <c r="N11" s="34">
        <f>M11*'Div satser'!$C$3</f>
        <v>9165</v>
      </c>
      <c r="O11" s="35">
        <f t="shared" si="4"/>
        <v>826720.9822666666</v>
      </c>
    </row>
    <row r="12" spans="1:15" x14ac:dyDescent="0.25">
      <c r="A12" s="1"/>
      <c r="B12" s="13">
        <v>700000</v>
      </c>
      <c r="C12" s="2">
        <v>100</v>
      </c>
      <c r="D12" s="3">
        <v>12</v>
      </c>
      <c r="E12" s="3">
        <v>10.85</v>
      </c>
      <c r="F12" s="4">
        <f t="shared" si="0"/>
        <v>700000</v>
      </c>
      <c r="G12" s="4">
        <f t="shared" si="1"/>
        <v>699600</v>
      </c>
      <c r="H12" s="4">
        <f t="shared" si="2"/>
        <v>632555</v>
      </c>
      <c r="I12" s="4">
        <f>G12/12*E12*'Div satser'!$C$2</f>
        <v>75906.599999999991</v>
      </c>
      <c r="J12" s="4">
        <f>'Div satser'!$C$4/12*D12</f>
        <v>1730</v>
      </c>
      <c r="K12" s="4">
        <f>(H12+J12)*'Div satser'!$C$3</f>
        <v>89434.184999999998</v>
      </c>
      <c r="L12" s="4">
        <f>I12*'Div satser'!$C$3</f>
        <v>10702.830599999998</v>
      </c>
      <c r="M12" s="4">
        <f>(F12*'Div satser'!$C$6)/12*D12</f>
        <v>70000</v>
      </c>
      <c r="N12" s="34">
        <f>M12*'Div satser'!$C$3</f>
        <v>9869.9999999999982</v>
      </c>
      <c r="O12" s="35">
        <f t="shared" si="4"/>
        <v>890198.6155999999</v>
      </c>
    </row>
    <row r="13" spans="1:15" x14ac:dyDescent="0.25">
      <c r="A13" s="5"/>
      <c r="B13" s="13">
        <v>750000</v>
      </c>
      <c r="C13" s="2">
        <v>100</v>
      </c>
      <c r="D13" s="3">
        <v>12</v>
      </c>
      <c r="E13" s="3">
        <v>10.85</v>
      </c>
      <c r="F13" s="4">
        <f t="shared" si="0"/>
        <v>750000</v>
      </c>
      <c r="G13" s="4">
        <f t="shared" si="1"/>
        <v>749600</v>
      </c>
      <c r="H13" s="4">
        <f t="shared" si="2"/>
        <v>677763.33333333326</v>
      </c>
      <c r="I13" s="4">
        <f>G13/12*E13*'Div satser'!$C$2</f>
        <v>81331.599999999991</v>
      </c>
      <c r="J13" s="4">
        <f>'Div satser'!$C$4/12*D13</f>
        <v>1730</v>
      </c>
      <c r="K13" s="4">
        <f>(H13+J13)*'Div satser'!$C$3</f>
        <v>95808.559999999983</v>
      </c>
      <c r="L13" s="4">
        <f>I13*'Div satser'!$C$3</f>
        <v>11467.755599999997</v>
      </c>
      <c r="M13" s="4">
        <f>(F13*'Div satser'!$C$6)/12*D13</f>
        <v>75000</v>
      </c>
      <c r="N13" s="34">
        <f>M13*'Div satser'!$C$3</f>
        <v>10574.999999999998</v>
      </c>
      <c r="O13" s="35">
        <f t="shared" si="4"/>
        <v>953676.24893333321</v>
      </c>
    </row>
    <row r="14" spans="1:15" x14ac:dyDescent="0.25">
      <c r="A14" s="5"/>
      <c r="B14" s="13">
        <v>800000</v>
      </c>
      <c r="C14" s="2">
        <v>100</v>
      </c>
      <c r="D14" s="3">
        <v>12</v>
      </c>
      <c r="E14" s="3">
        <v>10.85</v>
      </c>
      <c r="F14" s="4">
        <f t="shared" si="0"/>
        <v>800000</v>
      </c>
      <c r="G14" s="4">
        <f t="shared" si="1"/>
        <v>799600</v>
      </c>
      <c r="H14" s="4">
        <f t="shared" si="2"/>
        <v>722971.66666666663</v>
      </c>
      <c r="I14" s="4">
        <f>G14/12*E14*'Div satser'!$C$2</f>
        <v>86756.599999999991</v>
      </c>
      <c r="J14" s="4">
        <f>'Div satser'!$C$4/12*D14</f>
        <v>1730</v>
      </c>
      <c r="K14" s="4">
        <f>(H14+J14)*'Div satser'!$C$3</f>
        <v>102182.93499999998</v>
      </c>
      <c r="L14" s="4">
        <f>I14*'Div satser'!$C$3</f>
        <v>12232.680599999998</v>
      </c>
      <c r="M14" s="4">
        <f>(F14*'Div satser'!$C$6)/12*D14</f>
        <v>80000</v>
      </c>
      <c r="N14" s="34">
        <f>M14*'Div satser'!$C$3</f>
        <v>11279.999999999998</v>
      </c>
      <c r="O14" s="35">
        <f t="shared" si="4"/>
        <v>1017153.8822666665</v>
      </c>
    </row>
    <row r="15" spans="1:15" x14ac:dyDescent="0.25">
      <c r="A15" s="51"/>
      <c r="B15" s="13">
        <v>900000</v>
      </c>
      <c r="C15" s="2">
        <v>100</v>
      </c>
      <c r="D15" s="3">
        <v>12</v>
      </c>
      <c r="E15" s="3">
        <v>10.85</v>
      </c>
      <c r="F15" s="4">
        <f t="shared" si="0"/>
        <v>900000</v>
      </c>
      <c r="G15" s="4">
        <f t="shared" si="1"/>
        <v>899600</v>
      </c>
      <c r="H15" s="4">
        <f t="shared" si="2"/>
        <v>813388.33333333337</v>
      </c>
      <c r="I15" s="4">
        <f>G15/12*E15*'Div satser'!$C$2</f>
        <v>97606.6</v>
      </c>
      <c r="J15" s="4">
        <f>'Div satser'!$C$4/12*D15</f>
        <v>1730</v>
      </c>
      <c r="K15" s="4">
        <f>(H15+J15)*'Div satser'!$C$3</f>
        <v>114931.685</v>
      </c>
      <c r="L15" s="4">
        <f>I15*'Div satser'!$C$3</f>
        <v>13762.5306</v>
      </c>
      <c r="M15" s="4">
        <f>(F15*'Div satser'!$C$6)/12*D15</f>
        <v>90000</v>
      </c>
      <c r="N15" s="34">
        <f>M15*'Div satser'!$C$3</f>
        <v>12689.999999999998</v>
      </c>
      <c r="O15" s="35">
        <f t="shared" si="4"/>
        <v>1144109.1489333333</v>
      </c>
    </row>
    <row r="16" spans="1:15" ht="15.75" thickBot="1" x14ac:dyDescent="0.3">
      <c r="A16" s="6"/>
      <c r="B16" s="14">
        <v>1000000</v>
      </c>
      <c r="C16" s="62">
        <v>100</v>
      </c>
      <c r="D16" s="7">
        <v>12</v>
      </c>
      <c r="E16" s="7">
        <v>10.85</v>
      </c>
      <c r="F16" s="8">
        <f t="shared" si="0"/>
        <v>1000000</v>
      </c>
      <c r="G16" s="8">
        <f t="shared" si="1"/>
        <v>999600</v>
      </c>
      <c r="H16" s="8">
        <f t="shared" si="2"/>
        <v>903805</v>
      </c>
      <c r="I16" s="8">
        <f>G16/12*E16*'Div satser'!$C$2</f>
        <v>108456.59999999999</v>
      </c>
      <c r="J16" s="8">
        <f>'Div satser'!$C$4/12*D16</f>
        <v>1730</v>
      </c>
      <c r="K16" s="8">
        <f>(H16+J16)*'Div satser'!$C$3</f>
        <v>127680.43499999998</v>
      </c>
      <c r="L16" s="8">
        <f>I16*'Div satser'!$C$3</f>
        <v>15292.380599999997</v>
      </c>
      <c r="M16" s="8">
        <f>(F16*'Div satser'!$C$6)/12*D16</f>
        <v>100000</v>
      </c>
      <c r="N16" s="63">
        <f>M16*'Div satser'!$C$3</f>
        <v>14099.999999999998</v>
      </c>
      <c r="O16" s="64">
        <f t="shared" si="4"/>
        <v>1271064.4155999999</v>
      </c>
    </row>
    <row r="17" spans="1:3" x14ac:dyDescent="0.25">
      <c r="C17" s="28"/>
    </row>
    <row r="18" spans="1:3" x14ac:dyDescent="0.25">
      <c r="C18" s="28"/>
    </row>
    <row r="19" spans="1:3" x14ac:dyDescent="0.25">
      <c r="A19" s="9"/>
      <c r="C19" s="36"/>
    </row>
    <row r="20" spans="1:3" x14ac:dyDescent="0.25">
      <c r="C20" s="28"/>
    </row>
    <row r="28" spans="1:3" x14ac:dyDescent="0.25">
      <c r="C28" s="28"/>
    </row>
    <row r="29" spans="1:3" x14ac:dyDescent="0.25">
      <c r="C29" s="28"/>
    </row>
    <row r="30" spans="1:3" x14ac:dyDescent="0.25">
      <c r="C30" s="28"/>
    </row>
    <row r="31" spans="1:3" x14ac:dyDescent="0.25">
      <c r="C31" s="28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80F8-7F5B-4EEF-A31C-635FC69D1FF1}">
  <dimension ref="A2:M25"/>
  <sheetViews>
    <sheetView workbookViewId="0">
      <selection activeCell="E10" sqref="E10"/>
    </sheetView>
  </sheetViews>
  <sheetFormatPr baseColWidth="10" defaultRowHeight="15" x14ac:dyDescent="0.25"/>
  <cols>
    <col min="1" max="1" width="38.42578125" customWidth="1"/>
    <col min="3" max="3" width="7.85546875" customWidth="1"/>
    <col min="4" max="4" width="9.85546875" hidden="1" customWidth="1"/>
    <col min="5" max="5" width="10.28515625" customWidth="1"/>
    <col min="6" max="6" width="10.5703125" customWidth="1"/>
    <col min="7" max="7" width="9.85546875" customWidth="1"/>
    <col min="8" max="8" width="10.140625" customWidth="1"/>
  </cols>
  <sheetData>
    <row r="2" spans="1:13" ht="19.5" x14ac:dyDescent="0.3">
      <c r="A2" s="27" t="s">
        <v>18</v>
      </c>
      <c r="E2" s="12"/>
      <c r="F2" s="12"/>
      <c r="G2" s="12"/>
      <c r="H2" s="12"/>
      <c r="I2" s="12"/>
      <c r="J2" s="12"/>
      <c r="K2" s="12"/>
    </row>
    <row r="3" spans="1:13" ht="15.75" x14ac:dyDescent="0.25">
      <c r="A3" s="38" t="s">
        <v>19</v>
      </c>
      <c r="E3" s="12"/>
      <c r="F3" s="12"/>
      <c r="G3" s="12"/>
      <c r="H3" s="12"/>
      <c r="I3" s="12"/>
      <c r="J3" s="12"/>
      <c r="K3" s="12"/>
    </row>
    <row r="4" spans="1:13" ht="15.75" x14ac:dyDescent="0.25">
      <c r="A4" s="38"/>
      <c r="E4" s="12"/>
      <c r="F4" s="12"/>
      <c r="G4" s="12"/>
      <c r="I4" s="12"/>
      <c r="J4" s="12"/>
      <c r="K4" s="12"/>
    </row>
    <row r="5" spans="1:13" ht="15.75" thickBot="1" x14ac:dyDescent="0.3">
      <c r="E5" s="12"/>
      <c r="F5" s="12"/>
      <c r="G5" s="12"/>
      <c r="H5" s="29" t="str">
        <f>Årslønn!L5</f>
        <v>Oppdatert med nye satser pr 01.01.25</v>
      </c>
      <c r="I5" s="12"/>
      <c r="J5" s="12"/>
      <c r="K5" s="12"/>
    </row>
    <row r="6" spans="1:13" ht="48" x14ac:dyDescent="0.25">
      <c r="A6" s="39" t="s">
        <v>2</v>
      </c>
      <c r="B6" s="40" t="s">
        <v>16</v>
      </c>
      <c r="C6" s="40" t="s">
        <v>20</v>
      </c>
      <c r="D6" s="41" t="s">
        <v>21</v>
      </c>
      <c r="E6" s="40" t="s">
        <v>5</v>
      </c>
      <c r="F6" s="40" t="s">
        <v>31</v>
      </c>
      <c r="G6" s="40" t="s">
        <v>32</v>
      </c>
      <c r="H6" s="40" t="s">
        <v>34</v>
      </c>
      <c r="I6" s="40" t="s">
        <v>9</v>
      </c>
      <c r="J6" s="42" t="s">
        <v>33</v>
      </c>
      <c r="K6" s="43" t="s">
        <v>23</v>
      </c>
    </row>
    <row r="7" spans="1:13" x14ac:dyDescent="0.25">
      <c r="A7" s="3"/>
      <c r="B7" s="13">
        <v>759100</v>
      </c>
      <c r="C7" s="3">
        <v>1</v>
      </c>
      <c r="D7" s="52">
        <f>B7/1950*C7</f>
        <v>389.28205128205127</v>
      </c>
      <c r="E7" s="52">
        <f>(B7-400)/1950*C7</f>
        <v>389.07692307692309</v>
      </c>
      <c r="F7" s="52">
        <f>E7*'Div satser'!$C$2</f>
        <v>46.689230769230768</v>
      </c>
      <c r="G7" s="52">
        <f>E7*'Div satser'!$C$3</f>
        <v>54.859846153846149</v>
      </c>
      <c r="H7" s="52">
        <f>F7*'Div satser'!$C$3</f>
        <v>6.5831815384615373</v>
      </c>
      <c r="I7" s="52">
        <f>D7*'Div satser'!$C$6</f>
        <v>38.928205128205128</v>
      </c>
      <c r="J7" s="53">
        <f>I7*'Div satser'!$C$3</f>
        <v>5.4888769230769228</v>
      </c>
      <c r="K7" s="54">
        <f t="shared" ref="K7:K11" si="0">SUM(E7:J7)</f>
        <v>541.62626358974353</v>
      </c>
      <c r="M7" s="12"/>
    </row>
    <row r="8" spans="1:13" x14ac:dyDescent="0.25">
      <c r="A8" s="3"/>
      <c r="B8" s="13">
        <v>500000</v>
      </c>
      <c r="C8" s="3">
        <v>1</v>
      </c>
      <c r="D8" s="52">
        <f t="shared" ref="D8:D11" si="1">B8/1950*C8</f>
        <v>256.41025641025641</v>
      </c>
      <c r="E8" s="52">
        <f>(B8-400)/1950*C8</f>
        <v>256.20512820512823</v>
      </c>
      <c r="F8" s="52">
        <f>E8*'Div satser'!$C$2</f>
        <v>30.744615384615386</v>
      </c>
      <c r="G8" s="52">
        <f>E8*'Div satser'!$C$3</f>
        <v>36.124923076923075</v>
      </c>
      <c r="H8" s="52">
        <f>F8*'Div satser'!$C$3</f>
        <v>4.3349907692307692</v>
      </c>
      <c r="I8" s="52">
        <f>D8*'Div satser'!$C$6</f>
        <v>25.641025641025642</v>
      </c>
      <c r="J8" s="53">
        <f>I8*'Div satser'!$C$3</f>
        <v>3.6153846153846154</v>
      </c>
      <c r="K8" s="54">
        <f t="shared" si="0"/>
        <v>356.66606769230776</v>
      </c>
      <c r="M8" s="12"/>
    </row>
    <row r="9" spans="1:13" x14ac:dyDescent="0.25">
      <c r="A9" s="3"/>
      <c r="B9" s="13">
        <v>550000</v>
      </c>
      <c r="C9" s="3">
        <v>1</v>
      </c>
      <c r="D9" s="52">
        <f t="shared" si="1"/>
        <v>282.05128205128204</v>
      </c>
      <c r="E9" s="52">
        <f>(B9-400)/1950*C9</f>
        <v>281.84615384615387</v>
      </c>
      <c r="F9" s="52">
        <f>E9*'Div satser'!$C$2</f>
        <v>33.821538461538466</v>
      </c>
      <c r="G9" s="52">
        <f>E9*'Div satser'!$C$3</f>
        <v>39.740307692307688</v>
      </c>
      <c r="H9" s="52">
        <f>F9*'Div satser'!$C$3</f>
        <v>4.7688369230769236</v>
      </c>
      <c r="I9" s="52">
        <f>D9*'Div satser'!$C$6</f>
        <v>28.205128205128204</v>
      </c>
      <c r="J9" s="53">
        <f>I9*'Div satser'!$C$3</f>
        <v>3.9769230769230766</v>
      </c>
      <c r="K9" s="54">
        <f t="shared" si="0"/>
        <v>392.35888820512821</v>
      </c>
      <c r="M9" s="12"/>
    </row>
    <row r="10" spans="1:13" x14ac:dyDescent="0.25">
      <c r="A10" s="3"/>
      <c r="B10" s="13">
        <v>600000</v>
      </c>
      <c r="C10" s="3">
        <v>1</v>
      </c>
      <c r="D10" s="52">
        <f t="shared" si="1"/>
        <v>307.69230769230768</v>
      </c>
      <c r="E10" s="52">
        <f>(B10-400)/1950*C10</f>
        <v>307.4871794871795</v>
      </c>
      <c r="F10" s="52">
        <f>E10*'Div satser'!$C$2</f>
        <v>36.89846153846154</v>
      </c>
      <c r="G10" s="52">
        <f>E10*'Div satser'!$C$3</f>
        <v>43.355692307692308</v>
      </c>
      <c r="H10" s="52">
        <f>F10*'Div satser'!$C$3</f>
        <v>5.2026830769230763</v>
      </c>
      <c r="I10" s="52">
        <f>D10*'Div satser'!$C$6</f>
        <v>30.76923076923077</v>
      </c>
      <c r="J10" s="53">
        <f>I10*'Div satser'!$C$3</f>
        <v>4.3384615384615381</v>
      </c>
      <c r="K10" s="54">
        <f t="shared" si="0"/>
        <v>428.05170871794877</v>
      </c>
      <c r="M10" s="12"/>
    </row>
    <row r="11" spans="1:13" x14ac:dyDescent="0.25">
      <c r="A11" s="3"/>
      <c r="B11" s="13">
        <v>650000</v>
      </c>
      <c r="C11" s="3">
        <v>1</v>
      </c>
      <c r="D11" s="52">
        <f t="shared" si="1"/>
        <v>333.33333333333331</v>
      </c>
      <c r="E11" s="52">
        <f>(B11-400)/1950*C11</f>
        <v>333.12820512820514</v>
      </c>
      <c r="F11" s="52">
        <f>E11*'Div satser'!$C$2</f>
        <v>39.975384615384613</v>
      </c>
      <c r="G11" s="52">
        <f>E11*'Div satser'!$C$3</f>
        <v>46.971076923076922</v>
      </c>
      <c r="H11" s="52">
        <f>F11*'Div satser'!$C$3</f>
        <v>5.6365292307692298</v>
      </c>
      <c r="I11" s="52">
        <f>D11*'Div satser'!$C$6</f>
        <v>33.333333333333336</v>
      </c>
      <c r="J11" s="53">
        <f>I11*'Div satser'!$C$3</f>
        <v>4.7</v>
      </c>
      <c r="K11" s="54">
        <f t="shared" si="0"/>
        <v>463.74452923076916</v>
      </c>
      <c r="M11" s="12"/>
    </row>
    <row r="12" spans="1:13" x14ac:dyDescent="0.25">
      <c r="A12" s="21" t="s">
        <v>1</v>
      </c>
      <c r="B12" s="37">
        <v>700000</v>
      </c>
      <c r="C12" s="3">
        <v>1</v>
      </c>
      <c r="D12" s="52">
        <f t="shared" ref="D12:D16" si="2">B12/1950*C12</f>
        <v>358.97435897435895</v>
      </c>
      <c r="E12" s="52">
        <f t="shared" ref="E12:E16" si="3">(B12-400)/1950*C12</f>
        <v>358.76923076923077</v>
      </c>
      <c r="F12" s="52">
        <f>E12*'Div satser'!$C$2</f>
        <v>43.052307692307693</v>
      </c>
      <c r="G12" s="52">
        <f>E12*'Div satser'!$C$3</f>
        <v>50.586461538461535</v>
      </c>
      <c r="H12" s="52">
        <f>F12*'Div satser'!$C$3</f>
        <v>6.0703753846153843</v>
      </c>
      <c r="I12" s="52">
        <f>D12*'Div satser'!$C$6</f>
        <v>35.897435897435898</v>
      </c>
      <c r="J12" s="53">
        <f>I12*'Div satser'!$C$3</f>
        <v>5.0615384615384613</v>
      </c>
      <c r="K12" s="54">
        <f t="shared" ref="K12:K16" si="4">SUM(E12:J12)</f>
        <v>499.43734974358978</v>
      </c>
      <c r="M12" s="12"/>
    </row>
    <row r="13" spans="1:13" x14ac:dyDescent="0.25">
      <c r="A13" s="21"/>
      <c r="B13" s="37">
        <v>750000</v>
      </c>
      <c r="C13" s="3">
        <v>1</v>
      </c>
      <c r="D13" s="52">
        <f t="shared" si="2"/>
        <v>384.61538461538464</v>
      </c>
      <c r="E13" s="52">
        <f t="shared" si="3"/>
        <v>384.41025641025641</v>
      </c>
      <c r="F13" s="52">
        <f>E13*'Div satser'!$C$2</f>
        <v>46.129230769230766</v>
      </c>
      <c r="G13" s="52">
        <f>E13*'Div satser'!$C$3</f>
        <v>54.201846153846148</v>
      </c>
      <c r="H13" s="52">
        <f>F13*'Div satser'!$C$3</f>
        <v>6.5042215384615369</v>
      </c>
      <c r="I13" s="52">
        <f>D13*'Div satser'!$C$6</f>
        <v>38.461538461538467</v>
      </c>
      <c r="J13" s="53">
        <f>I13*'Div satser'!$C$3</f>
        <v>5.4230769230769234</v>
      </c>
      <c r="K13" s="54">
        <f t="shared" si="4"/>
        <v>535.13017025641022</v>
      </c>
      <c r="M13" s="12"/>
    </row>
    <row r="14" spans="1:13" x14ac:dyDescent="0.25">
      <c r="A14" s="21"/>
      <c r="B14" s="37">
        <v>800000</v>
      </c>
      <c r="C14" s="3">
        <v>1</v>
      </c>
      <c r="D14" s="52">
        <f t="shared" si="2"/>
        <v>410.25641025641028</v>
      </c>
      <c r="E14" s="52">
        <f t="shared" si="3"/>
        <v>410.05128205128204</v>
      </c>
      <c r="F14" s="52">
        <f>E14*'Div satser'!$C$2</f>
        <v>49.206153846153846</v>
      </c>
      <c r="G14" s="52">
        <f>E14*'Div satser'!$C$3</f>
        <v>57.817230769230761</v>
      </c>
      <c r="H14" s="52">
        <f>F14*'Div satser'!$C$3</f>
        <v>6.9380676923076914</v>
      </c>
      <c r="I14" s="52">
        <f>D14*'Div satser'!$C$6</f>
        <v>41.025641025641029</v>
      </c>
      <c r="J14" s="53">
        <f>I14*'Div satser'!$C$3</f>
        <v>5.7846153846153845</v>
      </c>
      <c r="K14" s="54">
        <f t="shared" si="4"/>
        <v>570.82299076923061</v>
      </c>
      <c r="M14" s="12"/>
    </row>
    <row r="15" spans="1:13" x14ac:dyDescent="0.25">
      <c r="A15" s="21"/>
      <c r="B15" s="37">
        <v>900000</v>
      </c>
      <c r="C15" s="3">
        <v>1</v>
      </c>
      <c r="D15" s="52">
        <f t="shared" si="2"/>
        <v>461.53846153846155</v>
      </c>
      <c r="E15" s="52">
        <f t="shared" si="3"/>
        <v>461.33333333333331</v>
      </c>
      <c r="F15" s="52">
        <f>E15*'Div satser'!$C$2</f>
        <v>55.359999999999992</v>
      </c>
      <c r="G15" s="52">
        <f>E15*'Div satser'!$C$3</f>
        <v>65.047999999999988</v>
      </c>
      <c r="H15" s="52">
        <f>F15*'Div satser'!$C$3</f>
        <v>7.8057599999999985</v>
      </c>
      <c r="I15" s="52">
        <f>D15*'Div satser'!$C$6</f>
        <v>46.15384615384616</v>
      </c>
      <c r="J15" s="53">
        <f>I15*'Div satser'!$C$3</f>
        <v>6.5076923076923077</v>
      </c>
      <c r="K15" s="54">
        <f t="shared" si="4"/>
        <v>642.20863179487174</v>
      </c>
      <c r="M15" s="12"/>
    </row>
    <row r="16" spans="1:13" ht="15.75" thickBot="1" x14ac:dyDescent="0.3">
      <c r="A16" s="7"/>
      <c r="B16" s="14">
        <v>1000000</v>
      </c>
      <c r="C16" s="7">
        <v>1</v>
      </c>
      <c r="D16" s="52">
        <f t="shared" si="2"/>
        <v>512.82051282051282</v>
      </c>
      <c r="E16" s="52">
        <f t="shared" si="3"/>
        <v>512.61538461538464</v>
      </c>
      <c r="F16" s="52">
        <f>E16*'Div satser'!$C$2</f>
        <v>61.513846153846153</v>
      </c>
      <c r="G16" s="52">
        <f>E16*'Div satser'!$C$3</f>
        <v>72.278769230769228</v>
      </c>
      <c r="H16" s="52">
        <f>F16*'Div satser'!$C$3</f>
        <v>8.6734523076923065</v>
      </c>
      <c r="I16" s="52">
        <f>D16*'Div satser'!$C$6</f>
        <v>51.282051282051285</v>
      </c>
      <c r="J16" s="53">
        <f>I16*'Div satser'!$C$3</f>
        <v>7.2307692307692308</v>
      </c>
      <c r="K16" s="54">
        <f t="shared" si="4"/>
        <v>713.59427282051297</v>
      </c>
      <c r="M16" s="12"/>
    </row>
    <row r="17" spans="4:11" x14ac:dyDescent="0.25">
      <c r="D17" s="12"/>
      <c r="E17" s="12"/>
      <c r="F17" s="12"/>
      <c r="G17" s="12"/>
      <c r="H17" s="12"/>
      <c r="I17" s="12"/>
      <c r="J17" s="12"/>
      <c r="K17" s="12"/>
    </row>
    <row r="18" spans="4:11" x14ac:dyDescent="0.25">
      <c r="E18" s="12"/>
      <c r="F18" s="12"/>
      <c r="G18" s="12"/>
      <c r="H18" s="12"/>
      <c r="I18" s="12"/>
      <c r="J18" s="12"/>
      <c r="K18" s="12"/>
    </row>
    <row r="19" spans="4:11" x14ac:dyDescent="0.25">
      <c r="E19" s="12"/>
      <c r="F19" s="12"/>
      <c r="G19" s="12"/>
      <c r="H19" s="12"/>
      <c r="I19" s="12"/>
      <c r="J19" s="12"/>
      <c r="K19" s="12"/>
    </row>
    <row r="20" spans="4:11" x14ac:dyDescent="0.25">
      <c r="E20" s="12"/>
      <c r="F20" s="12"/>
      <c r="G20" s="12"/>
      <c r="H20" s="12"/>
      <c r="I20" s="12"/>
      <c r="J20" s="12"/>
      <c r="K20" s="12"/>
    </row>
    <row r="21" spans="4:11" x14ac:dyDescent="0.25">
      <c r="E21" s="12"/>
      <c r="F21" s="12"/>
      <c r="G21" s="12"/>
      <c r="H21" s="12"/>
      <c r="I21" s="12"/>
      <c r="J21" s="12"/>
      <c r="K21" s="12"/>
    </row>
    <row r="22" spans="4:11" x14ac:dyDescent="0.25">
      <c r="E22" s="12"/>
      <c r="F22" s="12"/>
      <c r="G22" s="12"/>
      <c r="H22" s="12"/>
      <c r="I22" s="12"/>
      <c r="J22" s="12"/>
      <c r="K22" s="12"/>
    </row>
    <row r="23" spans="4:11" x14ac:dyDescent="0.25">
      <c r="E23" s="12"/>
      <c r="F23" s="12"/>
      <c r="G23" s="12"/>
      <c r="H23" s="12"/>
      <c r="I23" s="12"/>
      <c r="J23" s="12"/>
      <c r="K23" s="12"/>
    </row>
    <row r="24" spans="4:11" x14ac:dyDescent="0.25">
      <c r="E24" s="12"/>
      <c r="F24" s="12"/>
      <c r="G24" s="12"/>
      <c r="H24" s="12"/>
      <c r="I24" s="12"/>
      <c r="J24" s="12"/>
      <c r="K24" s="12"/>
    </row>
    <row r="25" spans="4:11" x14ac:dyDescent="0.25">
      <c r="E25" s="12"/>
      <c r="F25" s="12"/>
      <c r="G25" s="12"/>
      <c r="H25" s="12"/>
      <c r="I25" s="12"/>
      <c r="J25" s="12"/>
      <c r="K25" s="12"/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E159-2A38-4877-9E61-93738E066711}">
  <dimension ref="A2:O18"/>
  <sheetViews>
    <sheetView workbookViewId="0">
      <selection activeCell="B30" sqref="B29:B30"/>
    </sheetView>
  </sheetViews>
  <sheetFormatPr baseColWidth="10" defaultRowHeight="15" x14ac:dyDescent="0.25"/>
  <cols>
    <col min="1" max="1" width="38.140625" customWidth="1"/>
    <col min="3" max="3" width="7.7109375" customWidth="1"/>
    <col min="4" max="11" width="0" hidden="1" customWidth="1"/>
    <col min="13" max="13" width="13.42578125" customWidth="1"/>
  </cols>
  <sheetData>
    <row r="2" spans="1:15" ht="19.5" x14ac:dyDescent="0.3">
      <c r="A2" s="27" t="s">
        <v>26</v>
      </c>
    </row>
    <row r="3" spans="1:15" ht="15.75" x14ac:dyDescent="0.25">
      <c r="A3" s="38"/>
    </row>
    <row r="4" spans="1:15" ht="19.5" x14ac:dyDescent="0.3">
      <c r="A4" s="27"/>
    </row>
    <row r="5" spans="1:15" ht="15.75" thickBot="1" x14ac:dyDescent="0.3">
      <c r="K5" s="29" t="str">
        <f>[1]Årslønn!L5</f>
        <v>Oppdatert med nye satser pr 01.01.24</v>
      </c>
    </row>
    <row r="6" spans="1:15" ht="48.75" thickBot="1" x14ac:dyDescent="0.3">
      <c r="A6" s="30" t="s">
        <v>2</v>
      </c>
      <c r="B6" s="31" t="s">
        <v>16</v>
      </c>
      <c r="C6" s="31" t="s">
        <v>20</v>
      </c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22</v>
      </c>
      <c r="J6" s="31" t="s">
        <v>9</v>
      </c>
      <c r="K6" s="31" t="s">
        <v>24</v>
      </c>
      <c r="L6" s="32" t="s">
        <v>10</v>
      </c>
      <c r="M6" s="47" t="s">
        <v>28</v>
      </c>
      <c r="N6" s="33" t="s">
        <v>27</v>
      </c>
    </row>
    <row r="7" spans="1:15" x14ac:dyDescent="0.25">
      <c r="A7" s="15" t="s">
        <v>1</v>
      </c>
      <c r="B7" s="44">
        <v>450000</v>
      </c>
      <c r="C7" s="16">
        <v>1</v>
      </c>
      <c r="D7" s="17">
        <f t="shared" ref="D7:D16" si="0">B7-400</f>
        <v>449600</v>
      </c>
      <c r="E7" s="17">
        <f t="shared" ref="E7:E10" si="1">D7/12*10.85</f>
        <v>406513.33333333331</v>
      </c>
      <c r="F7" s="17">
        <f>E7*'Div satser'!$C$2</f>
        <v>48781.599999999999</v>
      </c>
      <c r="G7" s="17">
        <f>'Div satser'!$C$4</f>
        <v>1730</v>
      </c>
      <c r="H7" s="17">
        <f>(E7+G7)*'Div satser'!$C$3</f>
        <v>57562.30999999999</v>
      </c>
      <c r="I7" s="17">
        <f>F7*'Div satser'!$C$3</f>
        <v>6878.2055999999993</v>
      </c>
      <c r="J7" s="17">
        <f>(B7*'Div satser'!$C$6)</f>
        <v>45000</v>
      </c>
      <c r="K7" s="17">
        <f>J7*'Div satser'!$C$3</f>
        <v>6344.9999999999991</v>
      </c>
      <c r="L7" s="18">
        <f t="shared" ref="L7:L10" si="2">SUM(E7:K7)</f>
        <v>572810.44893333327</v>
      </c>
      <c r="M7" s="45">
        <f t="shared" ref="M7:M16" si="3">L7/$L$18</f>
        <v>351.84917010647007</v>
      </c>
      <c r="N7" s="50">
        <f>M7*C7</f>
        <v>351.84917010647007</v>
      </c>
      <c r="O7" s="26"/>
    </row>
    <row r="8" spans="1:15" x14ac:dyDescent="0.25">
      <c r="A8" s="1"/>
      <c r="B8" s="13">
        <v>500000</v>
      </c>
      <c r="C8" s="3">
        <v>1</v>
      </c>
      <c r="D8" s="17">
        <f t="shared" si="0"/>
        <v>499600</v>
      </c>
      <c r="E8" s="4">
        <f t="shared" si="1"/>
        <v>451721.66666666669</v>
      </c>
      <c r="F8" s="17">
        <f>E8*'Div satser'!$C$2</f>
        <v>54206.6</v>
      </c>
      <c r="G8" s="17">
        <f>'Div satser'!$C$4</f>
        <v>1730</v>
      </c>
      <c r="H8" s="17">
        <f>(E8+G8)*'Div satser'!$C$3</f>
        <v>63936.684999999998</v>
      </c>
      <c r="I8" s="17">
        <f>F8*'Div satser'!$C$3</f>
        <v>7643.1305999999995</v>
      </c>
      <c r="J8" s="17">
        <f>(B8*'Div satser'!$C$6)</f>
        <v>50000</v>
      </c>
      <c r="K8" s="17">
        <f>J8*'Div satser'!$C$3</f>
        <v>7049.9999999999991</v>
      </c>
      <c r="L8" s="19">
        <f t="shared" si="2"/>
        <v>636288.08226666669</v>
      </c>
      <c r="M8" s="45">
        <f t="shared" si="3"/>
        <v>390.8403453726454</v>
      </c>
      <c r="N8" s="48">
        <f t="shared" ref="N8:N16" si="4">M8*C8</f>
        <v>390.8403453726454</v>
      </c>
      <c r="O8" s="26"/>
    </row>
    <row r="9" spans="1:15" x14ac:dyDescent="0.25">
      <c r="A9" s="20"/>
      <c r="B9" s="13">
        <v>550000</v>
      </c>
      <c r="C9" s="3">
        <v>1</v>
      </c>
      <c r="D9" s="17">
        <f t="shared" si="0"/>
        <v>549600</v>
      </c>
      <c r="E9" s="4">
        <f t="shared" si="1"/>
        <v>496930</v>
      </c>
      <c r="F9" s="17">
        <f>E9*'Div satser'!$C$2</f>
        <v>59631.6</v>
      </c>
      <c r="G9" s="17">
        <f>'Div satser'!$C$4</f>
        <v>1730</v>
      </c>
      <c r="H9" s="17">
        <f>(E9+G9)*'Div satser'!$C$3</f>
        <v>70311.06</v>
      </c>
      <c r="I9" s="17">
        <f>F9*'Div satser'!$C$3</f>
        <v>8408.0555999999997</v>
      </c>
      <c r="J9" s="17">
        <f>(B9*'Div satser'!$C$6)</f>
        <v>55000</v>
      </c>
      <c r="K9" s="17">
        <f>J9*'Div satser'!$C$3</f>
        <v>7754.9999999999991</v>
      </c>
      <c r="L9" s="19">
        <f t="shared" si="2"/>
        <v>699765.71559999988</v>
      </c>
      <c r="M9" s="45">
        <f t="shared" si="3"/>
        <v>429.83152063882056</v>
      </c>
      <c r="N9" s="48">
        <f t="shared" si="4"/>
        <v>429.83152063882056</v>
      </c>
      <c r="O9" s="26"/>
    </row>
    <row r="10" spans="1:15" x14ac:dyDescent="0.25">
      <c r="A10" s="20"/>
      <c r="B10" s="13">
        <v>600000</v>
      </c>
      <c r="C10" s="3">
        <v>1</v>
      </c>
      <c r="D10" s="17">
        <f t="shared" si="0"/>
        <v>599600</v>
      </c>
      <c r="E10" s="4">
        <f t="shared" si="1"/>
        <v>542138.33333333326</v>
      </c>
      <c r="F10" s="17">
        <f>E10*'Div satser'!$C$2</f>
        <v>65056.599999999991</v>
      </c>
      <c r="G10" s="17">
        <f>'Div satser'!$C$4</f>
        <v>1730</v>
      </c>
      <c r="H10" s="17">
        <f>(E10+G10)*'Div satser'!$C$3</f>
        <v>76685.434999999983</v>
      </c>
      <c r="I10" s="17">
        <f>F10*'Div satser'!$C$3</f>
        <v>9172.9805999999971</v>
      </c>
      <c r="J10" s="17">
        <f>(B10*'Div satser'!$C$6)</f>
        <v>60000</v>
      </c>
      <c r="K10" s="17">
        <f>J10*'Div satser'!$C$3</f>
        <v>8460</v>
      </c>
      <c r="L10" s="19">
        <f t="shared" si="2"/>
        <v>763243.34893333318</v>
      </c>
      <c r="M10" s="45">
        <f t="shared" si="3"/>
        <v>468.82269590499584</v>
      </c>
      <c r="N10" s="48">
        <f t="shared" si="4"/>
        <v>468.82269590499584</v>
      </c>
      <c r="O10" s="26"/>
    </row>
    <row r="11" spans="1:15" x14ac:dyDescent="0.25">
      <c r="A11" s="20"/>
      <c r="B11" s="13">
        <v>650000</v>
      </c>
      <c r="C11" s="3">
        <v>1</v>
      </c>
      <c r="D11" s="17">
        <f t="shared" si="0"/>
        <v>649600</v>
      </c>
      <c r="E11" s="4">
        <f t="shared" ref="E11:E16" si="5">D11/12*10.85</f>
        <v>587346.66666666663</v>
      </c>
      <c r="F11" s="17">
        <f>E11*'Div satser'!$C$2</f>
        <v>70481.599999999991</v>
      </c>
      <c r="G11" s="17">
        <f>'Div satser'!$C$4</f>
        <v>1730</v>
      </c>
      <c r="H11" s="17">
        <f>(E11+G11)*'Div satser'!$C$3</f>
        <v>83059.809999999983</v>
      </c>
      <c r="I11" s="17">
        <f>F11*'Div satser'!$C$3</f>
        <v>9937.9055999999982</v>
      </c>
      <c r="J11" s="17">
        <f>(B11*'Div satser'!$C$6)</f>
        <v>65000</v>
      </c>
      <c r="K11" s="17">
        <f>J11*'Div satser'!$C$3</f>
        <v>9165</v>
      </c>
      <c r="L11" s="19">
        <f t="shared" ref="L11:L16" si="6">SUM(E11:K11)</f>
        <v>826720.9822666666</v>
      </c>
      <c r="M11" s="45">
        <f t="shared" si="3"/>
        <v>507.81387117117112</v>
      </c>
      <c r="N11" s="48">
        <f t="shared" si="4"/>
        <v>507.81387117117112</v>
      </c>
      <c r="O11" s="26"/>
    </row>
    <row r="12" spans="1:15" x14ac:dyDescent="0.25">
      <c r="A12" s="20"/>
      <c r="B12" s="37">
        <v>700000</v>
      </c>
      <c r="C12" s="3">
        <v>1</v>
      </c>
      <c r="D12" s="17">
        <f t="shared" si="0"/>
        <v>699600</v>
      </c>
      <c r="E12" s="4">
        <f t="shared" si="5"/>
        <v>632555</v>
      </c>
      <c r="F12" s="17">
        <f>E12*'Div satser'!$C$2</f>
        <v>75906.599999999991</v>
      </c>
      <c r="G12" s="17">
        <f>'Div satser'!$C$4</f>
        <v>1730</v>
      </c>
      <c r="H12" s="17">
        <f>(E12+G12)*'Div satser'!$C$3</f>
        <v>89434.184999999998</v>
      </c>
      <c r="I12" s="17">
        <f>F12*'Div satser'!$C$3</f>
        <v>10702.830599999998</v>
      </c>
      <c r="J12" s="17">
        <f>(B12*'Div satser'!$C$6)</f>
        <v>70000</v>
      </c>
      <c r="K12" s="17">
        <f>J12*'Div satser'!$C$3</f>
        <v>9869.9999999999982</v>
      </c>
      <c r="L12" s="19">
        <f t="shared" si="6"/>
        <v>890198.6155999999</v>
      </c>
      <c r="M12" s="45">
        <f t="shared" si="3"/>
        <v>546.80504643734639</v>
      </c>
      <c r="N12" s="48">
        <f t="shared" si="4"/>
        <v>546.80504643734639</v>
      </c>
      <c r="O12" s="26"/>
    </row>
    <row r="13" spans="1:15" x14ac:dyDescent="0.25">
      <c r="A13" s="20"/>
      <c r="B13" s="37">
        <v>750000</v>
      </c>
      <c r="C13" s="3">
        <v>1</v>
      </c>
      <c r="D13" s="17">
        <f t="shared" si="0"/>
        <v>749600</v>
      </c>
      <c r="E13" s="4">
        <f t="shared" si="5"/>
        <v>677763.33333333326</v>
      </c>
      <c r="F13" s="17">
        <f>E13*'Div satser'!$C$2</f>
        <v>81331.599999999991</v>
      </c>
      <c r="G13" s="17">
        <f>'Div satser'!$C$4</f>
        <v>1730</v>
      </c>
      <c r="H13" s="17">
        <f>(E13+G13)*'Div satser'!$C$3</f>
        <v>95808.559999999983</v>
      </c>
      <c r="I13" s="17">
        <f>F13*'Div satser'!$C$3</f>
        <v>11467.755599999997</v>
      </c>
      <c r="J13" s="17">
        <f>(B13*'Div satser'!$C$6)</f>
        <v>75000</v>
      </c>
      <c r="K13" s="17">
        <f>J13*'Div satser'!$C$3</f>
        <v>10574.999999999998</v>
      </c>
      <c r="L13" s="19">
        <f t="shared" si="6"/>
        <v>953676.24893333321</v>
      </c>
      <c r="M13" s="45">
        <f t="shared" si="3"/>
        <v>585.79622170352161</v>
      </c>
      <c r="N13" s="48">
        <f t="shared" si="4"/>
        <v>585.79622170352161</v>
      </c>
      <c r="O13" s="26"/>
    </row>
    <row r="14" spans="1:15" x14ac:dyDescent="0.25">
      <c r="A14" s="20"/>
      <c r="B14" s="37">
        <v>800000</v>
      </c>
      <c r="C14" s="3">
        <v>1</v>
      </c>
      <c r="D14" s="17">
        <f t="shared" si="0"/>
        <v>799600</v>
      </c>
      <c r="E14" s="4">
        <f t="shared" si="5"/>
        <v>722971.66666666663</v>
      </c>
      <c r="F14" s="17">
        <f>E14*'Div satser'!$C$2</f>
        <v>86756.599999999991</v>
      </c>
      <c r="G14" s="17">
        <f>'Div satser'!$C$4</f>
        <v>1730</v>
      </c>
      <c r="H14" s="17">
        <f>(E14+G14)*'Div satser'!$C$3</f>
        <v>102182.93499999998</v>
      </c>
      <c r="I14" s="17">
        <f>F14*'Div satser'!$C$3</f>
        <v>12232.680599999998</v>
      </c>
      <c r="J14" s="17">
        <f>(B14*'Div satser'!$C$6)</f>
        <v>80000</v>
      </c>
      <c r="K14" s="17">
        <f>J14*'Div satser'!$C$3</f>
        <v>11279.999999999998</v>
      </c>
      <c r="L14" s="19">
        <f t="shared" si="6"/>
        <v>1017153.8822666665</v>
      </c>
      <c r="M14" s="45">
        <f t="shared" si="3"/>
        <v>624.78739696969683</v>
      </c>
      <c r="N14" s="48">
        <f t="shared" si="4"/>
        <v>624.78739696969683</v>
      </c>
      <c r="O14" s="26"/>
    </row>
    <row r="15" spans="1:15" x14ac:dyDescent="0.25">
      <c r="A15" s="20"/>
      <c r="B15" s="37">
        <v>900000</v>
      </c>
      <c r="C15" s="3">
        <v>1</v>
      </c>
      <c r="D15" s="17">
        <f t="shared" si="0"/>
        <v>899600</v>
      </c>
      <c r="E15" s="4">
        <f t="shared" si="5"/>
        <v>813388.33333333337</v>
      </c>
      <c r="F15" s="17">
        <f>E15*'Div satser'!$C$2</f>
        <v>97606.6</v>
      </c>
      <c r="G15" s="17">
        <f>'Div satser'!$C$4</f>
        <v>1730</v>
      </c>
      <c r="H15" s="17">
        <f>(E15+G15)*'Div satser'!$C$3</f>
        <v>114931.685</v>
      </c>
      <c r="I15" s="17">
        <f>F15*'Div satser'!$C$3</f>
        <v>13762.5306</v>
      </c>
      <c r="J15" s="17">
        <f>(B15*'Div satser'!$C$6)</f>
        <v>90000</v>
      </c>
      <c r="K15" s="17">
        <f>J15*'Div satser'!$C$3</f>
        <v>12689.999999999998</v>
      </c>
      <c r="L15" s="19">
        <f t="shared" si="6"/>
        <v>1144109.1489333333</v>
      </c>
      <c r="M15" s="45">
        <f t="shared" si="3"/>
        <v>702.76974750204749</v>
      </c>
      <c r="N15" s="48">
        <f t="shared" si="4"/>
        <v>702.76974750204749</v>
      </c>
      <c r="O15" s="26"/>
    </row>
    <row r="16" spans="1:15" ht="15.75" thickBot="1" x14ac:dyDescent="0.3">
      <c r="A16" s="22"/>
      <c r="B16" s="14">
        <v>1000000</v>
      </c>
      <c r="C16" s="7">
        <v>1</v>
      </c>
      <c r="D16" s="25">
        <f t="shared" si="0"/>
        <v>999600</v>
      </c>
      <c r="E16" s="8">
        <f t="shared" si="5"/>
        <v>903805</v>
      </c>
      <c r="F16" s="25">
        <f>E16*'Div satser'!$C$2</f>
        <v>108456.59999999999</v>
      </c>
      <c r="G16" s="25">
        <f>'Div satser'!$C$4</f>
        <v>1730</v>
      </c>
      <c r="H16" s="25">
        <f>(E16+G16)*'Div satser'!$C$3</f>
        <v>127680.43499999998</v>
      </c>
      <c r="I16" s="25">
        <f>F16*'Div satser'!$C$3</f>
        <v>15292.380599999997</v>
      </c>
      <c r="J16" s="25">
        <f>(B16*'Div satser'!$C$6)</f>
        <v>100000</v>
      </c>
      <c r="K16" s="25">
        <f>J16*'Div satser'!$C$3</f>
        <v>14099.999999999998</v>
      </c>
      <c r="L16" s="23">
        <f t="shared" si="6"/>
        <v>1271064.4155999999</v>
      </c>
      <c r="M16" s="46">
        <f t="shared" si="3"/>
        <v>780.75209803439805</v>
      </c>
      <c r="N16" s="49">
        <f t="shared" si="4"/>
        <v>780.75209803439805</v>
      </c>
      <c r="O16" s="26"/>
    </row>
    <row r="17" spans="1:15" x14ac:dyDescent="0.25">
      <c r="A17" s="9"/>
      <c r="O17" s="26"/>
    </row>
    <row r="18" spans="1:15" x14ac:dyDescent="0.25">
      <c r="B18" t="s">
        <v>25</v>
      </c>
      <c r="L18" s="24">
        <f>'Div satser'!C9</f>
        <v>1628</v>
      </c>
      <c r="O18" s="26"/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4BDF-7358-40B4-ABE9-8AB4C7E55383}">
  <dimension ref="A2:D9"/>
  <sheetViews>
    <sheetView workbookViewId="0">
      <selection activeCell="C6" sqref="C6"/>
    </sheetView>
  </sheetViews>
  <sheetFormatPr baseColWidth="10" defaultRowHeight="15" x14ac:dyDescent="0.25"/>
  <sheetData>
    <row r="2" spans="1:4" x14ac:dyDescent="0.25">
      <c r="A2" t="s">
        <v>11</v>
      </c>
      <c r="C2" s="10">
        <v>0.12</v>
      </c>
    </row>
    <row r="3" spans="1:4" x14ac:dyDescent="0.25">
      <c r="A3" t="s">
        <v>12</v>
      </c>
      <c r="C3" s="11">
        <v>0.14099999999999999</v>
      </c>
    </row>
    <row r="4" spans="1:4" x14ac:dyDescent="0.25">
      <c r="A4" t="s">
        <v>13</v>
      </c>
      <c r="C4">
        <v>1730</v>
      </c>
    </row>
    <row r="5" spans="1:4" x14ac:dyDescent="0.25">
      <c r="A5" t="s">
        <v>14</v>
      </c>
      <c r="C5" s="10">
        <v>0.02</v>
      </c>
    </row>
    <row r="6" spans="1:4" x14ac:dyDescent="0.25">
      <c r="A6" t="s">
        <v>15</v>
      </c>
      <c r="C6" s="11">
        <v>0.1</v>
      </c>
      <c r="D6" t="s">
        <v>38</v>
      </c>
    </row>
    <row r="9" spans="1:4" x14ac:dyDescent="0.25">
      <c r="A9" t="s">
        <v>25</v>
      </c>
      <c r="C9">
        <v>1628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4C79E44E4C64991713C93736B634D" ma:contentTypeVersion="20" ma:contentTypeDescription="Opprett et nytt dokument." ma:contentTypeScope="" ma:versionID="c5c20cf2f4d38886af0f6f5771819018">
  <xsd:schema xmlns:xsd="http://www.w3.org/2001/XMLSchema" xmlns:xs="http://www.w3.org/2001/XMLSchema" xmlns:p="http://schemas.microsoft.com/office/2006/metadata/properties" xmlns:ns1="http://schemas.microsoft.com/sharepoint/v3" xmlns:ns3="f1b76afa-16ce-4759-ac13-0572e5c93e53" xmlns:ns4="4d5e750a-238c-4a0a-9ac7-22df6737d0d5" targetNamespace="http://schemas.microsoft.com/office/2006/metadata/properties" ma:root="true" ma:fieldsID="d0444bcdcc0f6528b312ef2b07120c4a" ns1:_="" ns3:_="" ns4:_="">
    <xsd:import namespace="http://schemas.microsoft.com/sharepoint/v3"/>
    <xsd:import namespace="f1b76afa-16ce-4759-ac13-0572e5c93e53"/>
    <xsd:import namespace="4d5e750a-238c-4a0a-9ac7-22df6737d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76afa-16ce-4759-ac13-0572e5c93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e750a-238c-4a0a-9ac7-22df6737d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f1b76afa-16ce-4759-ac13-0572e5c93e5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ED2F24-96F0-4F02-AF3B-E7A7A3E40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b76afa-16ce-4759-ac13-0572e5c93e53"/>
    <ds:schemaRef ds:uri="4d5e750a-238c-4a0a-9ac7-22df6737d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E48F80-145A-479A-8DBA-82D2D56A5D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19E35E-7236-4FC3-8AF6-45DA9239D7C1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4d5e750a-238c-4a0a-9ac7-22df6737d0d5"/>
    <ds:schemaRef ds:uri="http://purl.org/dc/dcmitype/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f1b76afa-16ce-4759-ac13-0572e5c93e53"/>
  </ds:schemaRefs>
</ds:datastoreItem>
</file>

<file path=docMetadata/LabelInfo.xml><?xml version="1.0" encoding="utf-8"?>
<clbl:labelList xmlns:clbl="http://schemas.microsoft.com/office/2020/mipLabelMetadata">
  <clbl:label id="{fec81f12-6286-4550-8911-f446fcdafa1f}" enabled="0" method="" siteId="{fec81f12-6286-4550-8911-f446fcdafa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Årslønn</vt:lpstr>
      <vt:lpstr>Timelønn</vt:lpstr>
      <vt:lpstr>Salgspris timer</vt:lpstr>
      <vt:lpstr>Div satser</vt:lpstr>
    </vt:vector>
  </TitlesOfParts>
  <Company>OsloMet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Berit Mathisen</dc:creator>
  <cp:lastModifiedBy>Solveig Christina Taucher</cp:lastModifiedBy>
  <dcterms:created xsi:type="dcterms:W3CDTF">2024-07-03T09:34:10Z</dcterms:created>
  <dcterms:modified xsi:type="dcterms:W3CDTF">2025-03-24T10:06:41Z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0x010100D674C79E44E4C64991713C93736B634D</vt:lpwstr>
  </property>
</Properties>
</file>