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40" windowHeight="12360" activeTab="0"/>
  </bookViews>
  <sheets>
    <sheet name="Årslønn" sheetId="1" r:id="rId1"/>
    <sheet name="Salgspris timer" sheetId="2" r:id="rId2"/>
    <sheet name="Timelønn" sheetId="3" r:id="rId3"/>
    <sheet name="Lønnstabell" sheetId="4" state="hidden" r:id="rId4"/>
    <sheet name="div satser" sheetId="5" state="hidden" r:id="rId5"/>
  </sheets>
  <definedNames/>
  <calcPr fullCalcOnLoad="1"/>
</workbook>
</file>

<file path=xl/sharedStrings.xml><?xml version="1.0" encoding="utf-8"?>
<sst xmlns="http://schemas.openxmlformats.org/spreadsheetml/2006/main" count="70" uniqueCount="52">
  <si>
    <t>Navn</t>
  </si>
  <si>
    <t>St.and.</t>
  </si>
  <si>
    <t>Brutto årslønn</t>
  </si>
  <si>
    <t>Brutto årslønn -OU</t>
  </si>
  <si>
    <t xml:space="preserve">  Brutto-</t>
  </si>
  <si>
    <t xml:space="preserve">  Pr. år</t>
  </si>
  <si>
    <t xml:space="preserve">   Pr. år</t>
  </si>
  <si>
    <t>Antall timer</t>
  </si>
  <si>
    <t>Brutto lønn</t>
  </si>
  <si>
    <t>Brutto lønn -OU</t>
  </si>
  <si>
    <t>Arbeidsgiveravgift</t>
  </si>
  <si>
    <t>Gruppeliv</t>
  </si>
  <si>
    <t>Feriepenger</t>
  </si>
  <si>
    <t>Pensjon</t>
  </si>
  <si>
    <t xml:space="preserve">Sum lønnsutgifter </t>
  </si>
  <si>
    <t>Årslønn</t>
  </si>
  <si>
    <t xml:space="preserve">Timelønn </t>
  </si>
  <si>
    <t>Pensjon arbeidsgiver</t>
  </si>
  <si>
    <t xml:space="preserve"> </t>
  </si>
  <si>
    <t xml:space="preserve">Fast lønn konto </t>
  </si>
  <si>
    <t>Feriepenger konto</t>
  </si>
  <si>
    <t>Pensjon arb.giver andel</t>
  </si>
  <si>
    <t xml:space="preserve">Gruppelivs
premie </t>
  </si>
  <si>
    <t>Lønns-</t>
  </si>
  <si>
    <r>
      <t xml:space="preserve">   lønn </t>
    </r>
    <r>
      <rPr>
        <vertAlign val="superscript"/>
        <sz val="10"/>
        <rFont val="MS Sans Serif"/>
        <family val="2"/>
      </rPr>
      <t>1)</t>
    </r>
  </si>
  <si>
    <r>
      <t xml:space="preserve">       Bruttolønn - OU</t>
    </r>
    <r>
      <rPr>
        <vertAlign val="superscript"/>
        <sz val="10"/>
        <rFont val="MS Sans Serif"/>
        <family val="2"/>
      </rPr>
      <t xml:space="preserve"> 2)</t>
    </r>
  </si>
  <si>
    <t>trinn</t>
  </si>
  <si>
    <t>Trinn (19 - 101)</t>
  </si>
  <si>
    <t>Trinn (19-101)</t>
  </si>
  <si>
    <t xml:space="preserve">Brukes for å beregne totalkostnad pr time, f.eks lønn til timelærere - se også nedenfor!! </t>
  </si>
  <si>
    <t>Normann Kari</t>
  </si>
  <si>
    <t>Normann Ola</t>
  </si>
  <si>
    <t>Normann Åse</t>
  </si>
  <si>
    <t>ant mnd *)</t>
  </si>
  <si>
    <t>ant lønnsmnd *)</t>
  </si>
  <si>
    <t>Salgspris timer (uten indirekte kostnader) basert på 1628 produktive timer</t>
  </si>
  <si>
    <t>Salgskostnad uten indirekte kostnader pr time. Basert på 1628</t>
  </si>
  <si>
    <t xml:space="preserve">Arb.giveravg av fast lønn </t>
  </si>
  <si>
    <t xml:space="preserve">Arb.giveravg av feriepenger </t>
  </si>
  <si>
    <t xml:space="preserve">Arb.giveravg av pensjon arb.giver </t>
  </si>
  <si>
    <t>Brukes til å beregne kostnader i forbindelse med salg av tjenester; internt og eksternt</t>
  </si>
  <si>
    <t>Arb.giveravg av lønn</t>
  </si>
  <si>
    <t>Arb.giveravg av feriepenger</t>
  </si>
  <si>
    <t>Arb.giveravg av pensjon arb.giver</t>
  </si>
  <si>
    <t>DET KGL. KOMMUNAL- OG MODERNISERINGSDEPARTEMENT</t>
  </si>
  <si>
    <r>
      <rPr>
        <vertAlign val="superscript"/>
        <sz val="10"/>
        <color indexed="8"/>
        <rFont val="Calibri"/>
        <family val="2"/>
      </rPr>
      <t xml:space="preserve">1 </t>
    </r>
    <r>
      <rPr>
        <sz val="10"/>
        <rFont val="Arial"/>
        <family val="0"/>
      </rPr>
      <t>Det skal trekkes kr 400,- pr. år i OU-midler av bruttolønn pr. år. Bruttolønn kan inkludere mer enn bruttolønn etter hovedlønnstabellen, for eksempel kronetillegg gitt i lokale forhandlinger og kronetillegg som tidligere ble gitt som B-tillegg. Pensjonsinnskudd er 2 pst av bruttolønn opp til 12*folketrygdens grunnbeløp. For høyere bruttolønn beregnes 2 pst pensjonsinnskudd av 12*folketrygdens grunnbeløp.                                                                                     Nettolønn er bruttolønn etter fratrekk for OU-midler og pensjonsinnskudd.                                               Overtidsgodtgjørelse beregnes ut fra bruttolønn som deles på 1850 og multipliseres med 1,5 (50%) og 2 (100%).                                                                       Nattidskompensasjon beregnes ut i fra bruttolønn som deles på 1850 og multipliseres med 0,45 (45%).</t>
    </r>
  </si>
  <si>
    <t>LØNNSTABELL LO STAT, UNIO OG YS STAT</t>
  </si>
  <si>
    <t>1. mai 2023</t>
  </si>
  <si>
    <t>Lønnstabell pr 01.05.23 (LO Stat, Unio og YS Stat)</t>
  </si>
  <si>
    <t xml:space="preserve">Sum timelønn inkl pensjons- kostnader </t>
  </si>
  <si>
    <t>Estimat pr januar 2024 (brev fra SPK, datert 25.05.2023)</t>
  </si>
  <si>
    <t>Oppdatert med nye satser pr 01.01.24</t>
  </si>
</sst>
</file>

<file path=xl/styles.xml><?xml version="1.0" encoding="utf-8"?>
<styleSheet xmlns="http://schemas.openxmlformats.org/spreadsheetml/2006/main">
  <numFmts count="3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0,000"/>
    <numFmt numFmtId="182" formatCode="0.0000000"/>
    <numFmt numFmtId="183" formatCode="0.0\ %"/>
    <numFmt numFmtId="184" formatCode="_ * #,##0_ ;_ * \-#,##0_ ;_ * &quot;-&quot;??_ ;_ @_ "/>
    <numFmt numFmtId="185" formatCode="#,##0_ ;\-#,##0\ "/>
  </numFmts>
  <fonts count="65">
    <font>
      <sz val="10"/>
      <name val="Arial"/>
      <family val="0"/>
    </font>
    <font>
      <b/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vertAlign val="superscript"/>
      <sz val="10"/>
      <name val="MS Sans Serif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14"/>
      <name val="Times New Roman"/>
      <family val="1"/>
    </font>
    <font>
      <b/>
      <sz val="10"/>
      <name val="MS Sans Serif"/>
      <family val="0"/>
    </font>
    <font>
      <vertAlign val="superscript"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8"/>
      <color indexed="62"/>
      <name val="Calibri"/>
      <family val="2"/>
    </font>
    <font>
      <b/>
      <i/>
      <sz val="24"/>
      <color indexed="62"/>
      <name val="Calibri"/>
      <family val="2"/>
    </font>
    <font>
      <b/>
      <sz val="24"/>
      <color indexed="62"/>
      <name val="Calibri"/>
      <family val="2"/>
    </font>
    <font>
      <b/>
      <i/>
      <sz val="18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indexed="8"/>
      <name val="Calibri"/>
      <family val="0"/>
    </font>
    <font>
      <sz val="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8"/>
      <color theme="4" tint="-0.24997000396251678"/>
      <name val="Calibri"/>
      <family val="2"/>
    </font>
    <font>
      <b/>
      <i/>
      <sz val="24"/>
      <color rgb="FF9F5FCF"/>
      <name val="Calibri"/>
      <family val="2"/>
    </font>
    <font>
      <b/>
      <sz val="24"/>
      <color rgb="FF9F5FCF"/>
      <name val="Calibri"/>
      <family val="2"/>
    </font>
    <font>
      <b/>
      <i/>
      <sz val="18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BA9E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3" borderId="1" applyNumberFormat="0" applyAlignment="0" applyProtection="0"/>
    <xf numFmtId="0" fontId="49" fillId="0" borderId="2" applyNumberFormat="0" applyFill="0" applyAlignment="0" applyProtection="0"/>
    <xf numFmtId="171" fontId="0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0" fontId="50" fillId="24" borderId="3" applyNumberFormat="0" applyAlignment="0" applyProtection="0"/>
    <xf numFmtId="0" fontId="0" fillId="25" borderId="4" applyNumberFormat="0" applyFont="0" applyAlignment="0" applyProtection="0"/>
    <xf numFmtId="0" fontId="4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26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69" fontId="0" fillId="0" borderId="0" applyFont="0" applyFill="0" applyBorder="0" applyAlignment="0" applyProtection="0"/>
    <xf numFmtId="0" fontId="57" fillId="20" borderId="9" applyNumberFormat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10" xfId="0" applyNumberFormat="1" applyBorder="1" applyAlignment="1">
      <alignment/>
    </xf>
    <xf numFmtId="182" fontId="5" fillId="0" borderId="0" xfId="0" applyNumberFormat="1" applyFont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7" fillId="0" borderId="11" xfId="0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3" fontId="7" fillId="0" borderId="14" xfId="0" applyNumberFormat="1" applyFont="1" applyBorder="1" applyAlignment="1" applyProtection="1">
      <alignment horizontal="center"/>
      <protection locked="0"/>
    </xf>
    <xf numFmtId="3" fontId="7" fillId="0" borderId="15" xfId="0" applyNumberFormat="1" applyFont="1" applyBorder="1" applyAlignment="1">
      <alignment/>
    </xf>
    <xf numFmtId="0" fontId="7" fillId="0" borderId="13" xfId="0" applyFont="1" applyBorder="1" applyAlignment="1">
      <alignment horizontal="left"/>
    </xf>
    <xf numFmtId="3" fontId="7" fillId="0" borderId="16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7" fillId="0" borderId="17" xfId="0" applyNumberFormat="1" applyFont="1" applyBorder="1" applyAlignment="1" applyProtection="1">
      <alignment horizontal="center"/>
      <protection locked="0"/>
    </xf>
    <xf numFmtId="3" fontId="59" fillId="0" borderId="0" xfId="46" applyNumberFormat="1" applyFont="1" applyBorder="1" applyAlignment="1">
      <alignment horizontal="center"/>
      <protection/>
    </xf>
    <xf numFmtId="0" fontId="9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" fontId="0" fillId="0" borderId="18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" fontId="0" fillId="0" borderId="19" xfId="0" applyNumberFormat="1" applyBorder="1" applyAlignment="1" applyProtection="1">
      <alignment/>
      <protection/>
    </xf>
    <xf numFmtId="0" fontId="5" fillId="0" borderId="20" xfId="0" applyFont="1" applyBorder="1" applyAlignment="1" applyProtection="1">
      <alignment vertical="top" wrapText="1"/>
      <protection/>
    </xf>
    <xf numFmtId="0" fontId="5" fillId="0" borderId="21" xfId="0" applyFont="1" applyBorder="1" applyAlignment="1" applyProtection="1">
      <alignment vertical="top" wrapText="1"/>
      <protection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5" fillId="0" borderId="24" xfId="0" applyFont="1" applyBorder="1" applyAlignment="1" applyProtection="1">
      <alignment vertical="top" wrapText="1"/>
      <protection/>
    </xf>
    <xf numFmtId="3" fontId="0" fillId="0" borderId="17" xfId="0" applyNumberFormat="1" applyFont="1" applyBorder="1" applyAlignment="1" applyProtection="1">
      <alignment/>
      <protection/>
    </xf>
    <xf numFmtId="3" fontId="0" fillId="0" borderId="22" xfId="0" applyNumberFormat="1" applyFont="1" applyBorder="1" applyAlignment="1" applyProtection="1">
      <alignment/>
      <protection/>
    </xf>
    <xf numFmtId="3" fontId="0" fillId="0" borderId="25" xfId="0" applyNumberFormat="1" applyFont="1" applyBorder="1" applyAlignment="1" applyProtection="1">
      <alignment/>
      <protection/>
    </xf>
    <xf numFmtId="0" fontId="5" fillId="0" borderId="26" xfId="0" applyFont="1" applyBorder="1" applyAlignment="1" applyProtection="1">
      <alignment vertical="top" wrapText="1"/>
      <protection/>
    </xf>
    <xf numFmtId="4" fontId="4" fillId="0" borderId="27" xfId="0" applyNumberFormat="1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/>
      <protection/>
    </xf>
    <xf numFmtId="4" fontId="4" fillId="0" borderId="28" xfId="0" applyNumberFormat="1" applyFont="1" applyBorder="1" applyAlignment="1" applyProtection="1">
      <alignment/>
      <protection/>
    </xf>
    <xf numFmtId="2" fontId="5" fillId="0" borderId="29" xfId="0" applyNumberFormat="1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2" fontId="5" fillId="0" borderId="12" xfId="0" applyNumberFormat="1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/>
      <protection/>
    </xf>
    <xf numFmtId="3" fontId="0" fillId="0" borderId="22" xfId="0" applyNumberFormat="1" applyBorder="1" applyAlignment="1" applyProtection="1">
      <alignment/>
      <protection/>
    </xf>
    <xf numFmtId="3" fontId="4" fillId="0" borderId="23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6" borderId="32" xfId="0" applyFont="1" applyFill="1" applyBorder="1" applyAlignment="1" applyProtection="1">
      <alignment/>
      <protection locked="0"/>
    </xf>
    <xf numFmtId="1" fontId="0" fillId="6" borderId="10" xfId="0" applyNumberFormat="1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/>
      <protection locked="0"/>
    </xf>
    <xf numFmtId="0" fontId="0" fillId="6" borderId="32" xfId="0" applyFill="1" applyBorder="1" applyAlignment="1" applyProtection="1">
      <alignment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0" fillId="6" borderId="33" xfId="0" applyFill="1" applyBorder="1" applyAlignment="1" applyProtection="1">
      <alignment/>
      <protection locked="0"/>
    </xf>
    <xf numFmtId="0" fontId="0" fillId="6" borderId="18" xfId="0" applyFill="1" applyBorder="1" applyAlignment="1" applyProtection="1">
      <alignment horizontal="center"/>
      <protection locked="0"/>
    </xf>
    <xf numFmtId="0" fontId="0" fillId="6" borderId="18" xfId="0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6" borderId="34" xfId="0" applyFont="1" applyFill="1" applyBorder="1" applyAlignment="1" applyProtection="1">
      <alignment/>
      <protection locked="0"/>
    </xf>
    <xf numFmtId="0" fontId="0" fillId="6" borderId="19" xfId="0" applyFill="1" applyBorder="1" applyAlignment="1" applyProtection="1">
      <alignment/>
      <protection locked="0"/>
    </xf>
    <xf numFmtId="0" fontId="0" fillId="6" borderId="33" xfId="0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6" borderId="14" xfId="0" applyFill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/>
    </xf>
    <xf numFmtId="3" fontId="4" fillId="0" borderId="28" xfId="0" applyNumberFormat="1" applyFont="1" applyBorder="1" applyAlignment="1" applyProtection="1">
      <alignment/>
      <protection/>
    </xf>
    <xf numFmtId="3" fontId="11" fillId="0" borderId="0" xfId="46" applyNumberFormat="1" applyFont="1" applyFill="1" applyBorder="1" applyAlignment="1">
      <alignment/>
      <protection/>
    </xf>
    <xf numFmtId="3" fontId="7" fillId="0" borderId="0" xfId="46" applyNumberFormat="1" applyFont="1" applyFill="1">
      <alignment/>
      <protection/>
    </xf>
    <xf numFmtId="4" fontId="11" fillId="0" borderId="0" xfId="46" applyNumberFormat="1" applyFont="1" applyFill="1" applyBorder="1" applyAlignment="1">
      <alignment/>
      <protection/>
    </xf>
    <xf numFmtId="4" fontId="7" fillId="0" borderId="0" xfId="46" applyNumberFormat="1" applyFont="1" applyFill="1">
      <alignment/>
      <protection/>
    </xf>
    <xf numFmtId="0" fontId="7" fillId="0" borderId="0" xfId="46" applyFont="1" applyFill="1">
      <alignment/>
      <protection/>
    </xf>
    <xf numFmtId="0" fontId="13" fillId="0" borderId="36" xfId="46" applyFont="1" applyFill="1" applyBorder="1">
      <alignment/>
      <protection/>
    </xf>
    <xf numFmtId="3" fontId="33" fillId="0" borderId="36" xfId="46" applyNumberFormat="1" applyFont="1" applyFill="1" applyBorder="1" applyAlignment="1">
      <alignment/>
      <protection/>
    </xf>
    <xf numFmtId="1" fontId="7" fillId="0" borderId="13" xfId="0" applyNumberFormat="1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/>
    </xf>
    <xf numFmtId="2" fontId="12" fillId="0" borderId="37" xfId="46" applyNumberFormat="1" applyFont="1" applyFill="1" applyBorder="1" applyAlignment="1" applyProtection="1">
      <alignment/>
      <protection locked="0"/>
    </xf>
    <xf numFmtId="0" fontId="34" fillId="0" borderId="10" xfId="0" applyFont="1" applyBorder="1" applyAlignment="1">
      <alignment horizontal="center"/>
    </xf>
    <xf numFmtId="185" fontId="0" fillId="0" borderId="10" xfId="0" applyNumberFormat="1" applyBorder="1" applyAlignment="1">
      <alignment/>
    </xf>
    <xf numFmtId="3" fontId="34" fillId="0" borderId="10" xfId="0" applyNumberFormat="1" applyFont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185" fontId="0" fillId="33" borderId="10" xfId="0" applyNumberFormat="1" applyFill="1" applyBorder="1" applyAlignment="1">
      <alignment/>
    </xf>
    <xf numFmtId="3" fontId="34" fillId="33" borderId="10" xfId="0" applyNumberFormat="1" applyFont="1" applyFill="1" applyBorder="1" applyAlignment="1">
      <alignment horizontal="center"/>
    </xf>
    <xf numFmtId="0" fontId="0" fillId="0" borderId="3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2" fillId="0" borderId="0" xfId="46" applyBorder="1" applyAlignment="1">
      <alignment horizontal="left"/>
      <protection/>
    </xf>
    <xf numFmtId="2" fontId="10" fillId="0" borderId="0" xfId="46" applyNumberFormat="1" applyFont="1" applyFill="1" applyAlignment="1" applyProtection="1">
      <alignment horizontal="left"/>
      <protection locked="0"/>
    </xf>
    <xf numFmtId="0" fontId="60" fillId="0" borderId="0" xfId="0" applyFont="1" applyAlignment="1">
      <alignment horizontal="left"/>
    </xf>
    <xf numFmtId="49" fontId="61" fillId="0" borderId="0" xfId="0" applyNumberFormat="1" applyFont="1" applyAlignment="1">
      <alignment horizontal="right"/>
    </xf>
    <xf numFmtId="49" fontId="62" fillId="0" borderId="0" xfId="0" applyNumberFormat="1" applyFont="1" applyAlignment="1">
      <alignment horizontal="right"/>
    </xf>
    <xf numFmtId="49" fontId="63" fillId="0" borderId="0" xfId="0" applyNumberFormat="1" applyFont="1" applyAlignment="1">
      <alignment horizontal="right"/>
    </xf>
    <xf numFmtId="49" fontId="64" fillId="0" borderId="0" xfId="0" applyNumberFormat="1" applyFont="1" applyAlignment="1">
      <alignment horizontal="right"/>
    </xf>
  </cellXfs>
  <cellStyles count="54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mma 2" xfId="42"/>
    <cellStyle name="Komma 3" xfId="43"/>
    <cellStyle name="Kontrollcelle" xfId="44"/>
    <cellStyle name="Merknad" xfId="45"/>
    <cellStyle name="Normal 2" xfId="46"/>
    <cellStyle name="Normal 3" xfId="47"/>
    <cellStyle name="Normal 3 2" xfId="48"/>
    <cellStyle name="Nøytral" xfId="49"/>
    <cellStyle name="Overskrift 1" xfId="50"/>
    <cellStyle name="Overskrift 2" xfId="51"/>
    <cellStyle name="Overskrift 3" xfId="52"/>
    <cellStyle name="Overskrift 4" xfId="53"/>
    <cellStyle name="Percent" xfId="54"/>
    <cellStyle name="Tittel" xfId="55"/>
    <cellStyle name="Totalt" xfId="56"/>
    <cellStyle name="Comma [0]" xfId="57"/>
    <cellStyle name="Utdata" xfId="58"/>
    <cellStyle name="Uthevingsfarge1" xfId="59"/>
    <cellStyle name="Uthevingsfarge2" xfId="60"/>
    <cellStyle name="Uthevingsfarge3" xfId="61"/>
    <cellStyle name="Uthevingsfarge4" xfId="62"/>
    <cellStyle name="Uthevingsfarge5" xfId="63"/>
    <cellStyle name="Uthevingsfarge6" xfId="64"/>
    <cellStyle name="Currency" xfId="65"/>
    <cellStyle name="Currency [0]" xfId="66"/>
    <cellStyle name="Varselteks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14</xdr:row>
      <xdr:rowOff>19050</xdr:rowOff>
    </xdr:from>
    <xdr:ext cx="10810875" cy="1895475"/>
    <xdr:sp>
      <xdr:nvSpPr>
        <xdr:cNvPr id="1" name="TekstSylinder 1"/>
        <xdr:cNvSpPr txBox="1">
          <a:spLocks noChangeArrowheads="1"/>
        </xdr:cNvSpPr>
      </xdr:nvSpPr>
      <xdr:spPr>
        <a:xfrm>
          <a:off x="104775" y="3124200"/>
          <a:ext cx="10810875" cy="1895475"/>
        </a:xfrm>
        <a:prstGeom prst="rect">
          <a:avLst/>
        </a:prstGeom>
        <a:solidFill>
          <a:srgbClr val="CCC1D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*) 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Feltene "ant mnd" og "ant lønnsmnd" må fylles ut
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Eks. 
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Kari arbeider januar tom mai - antall måneder blir da 5 og antall lønnsmåneder 5.
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Ola arbeider januar tom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august - antall måneder blir da 8 og antall lønnsmåneder blir 6,85 (dette forutsettes at han avvikler ferie før utgangen av august)
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Åse arbeider januar tom desember - antall måneder blir da 12 og ant lønnsmåneder blir 10,85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14</xdr:row>
      <xdr:rowOff>38100</xdr:rowOff>
    </xdr:from>
    <xdr:ext cx="9734550" cy="971550"/>
    <xdr:sp>
      <xdr:nvSpPr>
        <xdr:cNvPr id="1" name="TekstSylinder 1"/>
        <xdr:cNvSpPr txBox="1">
          <a:spLocks noChangeArrowheads="1"/>
        </xdr:cNvSpPr>
      </xdr:nvSpPr>
      <xdr:spPr>
        <a:xfrm>
          <a:off x="95250" y="3333750"/>
          <a:ext cx="9734550" cy="971550"/>
        </a:xfrm>
        <a:prstGeom prst="rect">
          <a:avLst/>
        </a:prstGeom>
        <a:solidFill>
          <a:srgbClr val="D7E4B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Obs! Denne skal IKKE brukes til å beregne kostnader ved salg av tjenester. Se "Salgspris timer"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2:O23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2.57421875" style="29" customWidth="1"/>
    <col min="2" max="2" width="6.140625" style="54" customWidth="1"/>
    <col min="3" max="3" width="5.7109375" style="29" customWidth="1"/>
    <col min="4" max="4" width="5.8515625" style="29" customWidth="1"/>
    <col min="5" max="5" width="5.57421875" style="29" customWidth="1"/>
    <col min="6" max="6" width="12.7109375" style="29" customWidth="1"/>
    <col min="7" max="7" width="14.00390625" style="29" customWidth="1"/>
    <col min="8" max="8" width="10.8515625" style="29" customWidth="1"/>
    <col min="9" max="16384" width="11.421875" style="29" customWidth="1"/>
  </cols>
  <sheetData>
    <row r="2" ht="19.5">
      <c r="A2" s="28" t="s">
        <v>15</v>
      </c>
    </row>
    <row r="4" spans="6:14" ht="12.75">
      <c r="F4" s="33" t="s">
        <v>18</v>
      </c>
      <c r="L4" s="83" t="s">
        <v>48</v>
      </c>
      <c r="M4" s="30"/>
      <c r="N4" s="30"/>
    </row>
    <row r="5" ht="13.5" thickBot="1">
      <c r="L5" s="33" t="s">
        <v>51</v>
      </c>
    </row>
    <row r="6" spans="1:15" s="53" customFormat="1" ht="48.75" thickBot="1">
      <c r="A6" s="36" t="s">
        <v>0</v>
      </c>
      <c r="B6" s="37" t="s">
        <v>1</v>
      </c>
      <c r="C6" s="37" t="s">
        <v>33</v>
      </c>
      <c r="D6" s="37" t="s">
        <v>34</v>
      </c>
      <c r="E6" s="37" t="s">
        <v>27</v>
      </c>
      <c r="F6" s="37" t="s">
        <v>2</v>
      </c>
      <c r="G6" s="37" t="s">
        <v>3</v>
      </c>
      <c r="H6" s="37" t="s">
        <v>19</v>
      </c>
      <c r="I6" s="37" t="s">
        <v>20</v>
      </c>
      <c r="J6" s="37" t="s">
        <v>22</v>
      </c>
      <c r="K6" s="37" t="s">
        <v>37</v>
      </c>
      <c r="L6" s="37" t="s">
        <v>42</v>
      </c>
      <c r="M6" s="37" t="s">
        <v>21</v>
      </c>
      <c r="N6" s="40" t="s">
        <v>43</v>
      </c>
      <c r="O6" s="44" t="s">
        <v>14</v>
      </c>
    </row>
    <row r="7" spans="1:15" ht="16.5" customHeight="1">
      <c r="A7" s="58" t="s">
        <v>30</v>
      </c>
      <c r="B7" s="59">
        <v>100</v>
      </c>
      <c r="C7" s="60">
        <v>5</v>
      </c>
      <c r="D7" s="60">
        <v>5</v>
      </c>
      <c r="E7" s="60">
        <v>40</v>
      </c>
      <c r="F7" s="34">
        <f>VLOOKUP(E7,Lønnstabell!$A$8:$B$90,2)*B7/100</f>
        <v>437900</v>
      </c>
      <c r="G7" s="34">
        <f>VLOOKUP(E7,Lønnstabell!$A$8:$C$90,3)*B7/100</f>
        <v>437500</v>
      </c>
      <c r="H7" s="34">
        <f aca="true" t="shared" si="0" ref="H7:H12">G7/12*D7</f>
        <v>182291.6666666667</v>
      </c>
      <c r="I7" s="34">
        <f>G7/12*D7*'div satser'!$C$2</f>
        <v>21875</v>
      </c>
      <c r="J7" s="34">
        <f>'div satser'!$C$4/12*C7</f>
        <v>693.75</v>
      </c>
      <c r="K7" s="34">
        <f>(H7+J7)*'div satser'!$C$3</f>
        <v>25800.94375</v>
      </c>
      <c r="L7" s="34">
        <f>I7*'div satser'!$C$3</f>
        <v>3084.3749999999995</v>
      </c>
      <c r="M7" s="34">
        <f>(F7*'div satser'!$C$6)/12*C7</f>
        <v>17151.083333333332</v>
      </c>
      <c r="N7" s="55">
        <f>M7*'div satser'!$C$3</f>
        <v>2418.3027499999994</v>
      </c>
      <c r="O7" s="56">
        <f aca="true" t="shared" si="1" ref="O7:O12">SUM(H7:N7)</f>
        <v>253315.12150000004</v>
      </c>
    </row>
    <row r="8" spans="1:15" ht="16.5" customHeight="1">
      <c r="A8" s="58" t="s">
        <v>31</v>
      </c>
      <c r="B8" s="59">
        <v>100</v>
      </c>
      <c r="C8" s="60">
        <v>8</v>
      </c>
      <c r="D8" s="60">
        <v>6.85</v>
      </c>
      <c r="E8" s="60">
        <v>70</v>
      </c>
      <c r="F8" s="34">
        <f>VLOOKUP(E8,Lønnstabell!$A$8:$B$90,2)*B8/100</f>
        <v>692400</v>
      </c>
      <c r="G8" s="34">
        <f>VLOOKUP(E8,Lønnstabell!$A$8:$C$90,3)*B8/100</f>
        <v>692000</v>
      </c>
      <c r="H8" s="34">
        <f t="shared" si="0"/>
        <v>395016.6666666666</v>
      </c>
      <c r="I8" s="34">
        <f>G8/12*D8*'div satser'!$C$2</f>
        <v>47401.99999999999</v>
      </c>
      <c r="J8" s="34">
        <f>'div satser'!$C$4/12*C8</f>
        <v>1110</v>
      </c>
      <c r="K8" s="34">
        <f>(H8+J8)*'div satser'!$C$3</f>
        <v>55853.859999999986</v>
      </c>
      <c r="L8" s="34">
        <f>I8*'div satser'!$C$3</f>
        <v>6683.681999999998</v>
      </c>
      <c r="M8" s="34">
        <f>(F8*'div satser'!$C$6)/12*C8</f>
        <v>43390.4</v>
      </c>
      <c r="N8" s="55">
        <f>M8*'div satser'!$C$3</f>
        <v>6118.046399999999</v>
      </c>
      <c r="O8" s="56">
        <f t="shared" si="1"/>
        <v>555574.6550666665</v>
      </c>
    </row>
    <row r="9" spans="1:15" ht="16.5" customHeight="1">
      <c r="A9" s="58" t="s">
        <v>32</v>
      </c>
      <c r="B9" s="59">
        <v>100</v>
      </c>
      <c r="C9" s="60">
        <v>12</v>
      </c>
      <c r="D9" s="60">
        <v>10.85</v>
      </c>
      <c r="E9" s="60">
        <v>72</v>
      </c>
      <c r="F9" s="34">
        <f>VLOOKUP(E9,Lønnstabell!$A$8:$B$90,2)*B9/100</f>
        <v>720100</v>
      </c>
      <c r="G9" s="34">
        <f>VLOOKUP(E9,Lønnstabell!$A$8:$C$90,3)*B9/100</f>
        <v>719700</v>
      </c>
      <c r="H9" s="34">
        <f t="shared" si="0"/>
        <v>650728.75</v>
      </c>
      <c r="I9" s="34">
        <f>G9/12*D9*'div satser'!$C$2</f>
        <v>78087.45</v>
      </c>
      <c r="J9" s="34">
        <f>'div satser'!$C$4/12*C9</f>
        <v>1665</v>
      </c>
      <c r="K9" s="34">
        <f>(H9+J9)*'div satser'!$C$3</f>
        <v>91987.51874999999</v>
      </c>
      <c r="L9" s="34">
        <f>I9*'div satser'!$C$3</f>
        <v>11010.330449999998</v>
      </c>
      <c r="M9" s="34">
        <f>(F9*'div satser'!$C$6)/12*C9</f>
        <v>67689.4</v>
      </c>
      <c r="N9" s="55">
        <f>M9*'div satser'!$C$3</f>
        <v>9544.205399999999</v>
      </c>
      <c r="O9" s="56">
        <f t="shared" si="1"/>
        <v>910712.6546</v>
      </c>
    </row>
    <row r="10" spans="1:15" ht="16.5" customHeight="1">
      <c r="A10" s="61"/>
      <c r="B10" s="62">
        <v>0</v>
      </c>
      <c r="C10" s="60">
        <v>0</v>
      </c>
      <c r="D10" s="60">
        <v>0</v>
      </c>
      <c r="E10" s="60">
        <v>19</v>
      </c>
      <c r="F10" s="34">
        <f>VLOOKUP(E10,Lønnstabell!$A$8:$B$90,2)*B10/100</f>
        <v>0</v>
      </c>
      <c r="G10" s="34">
        <f>VLOOKUP(E10,Lønnstabell!$A$8:$C$90,3)*B10/100</f>
        <v>0</v>
      </c>
      <c r="H10" s="34">
        <f t="shared" si="0"/>
        <v>0</v>
      </c>
      <c r="I10" s="34">
        <f>G10/12*D10*'div satser'!$C$2</f>
        <v>0</v>
      </c>
      <c r="J10" s="34">
        <f>'div satser'!$C$4/12*C10</f>
        <v>0</v>
      </c>
      <c r="K10" s="34">
        <f>(H10+J10)*'div satser'!$C$3</f>
        <v>0</v>
      </c>
      <c r="L10" s="34">
        <f>I10*'div satser'!$C$3</f>
        <v>0</v>
      </c>
      <c r="M10" s="34">
        <f>(F10*'div satser'!$C$6)/12*C10</f>
        <v>0</v>
      </c>
      <c r="N10" s="55">
        <f>M10*'div satser'!$C$3</f>
        <v>0</v>
      </c>
      <c r="O10" s="56">
        <f t="shared" si="1"/>
        <v>0</v>
      </c>
    </row>
    <row r="11" spans="1:15" ht="16.5" customHeight="1">
      <c r="A11" s="61"/>
      <c r="B11" s="62">
        <v>0</v>
      </c>
      <c r="C11" s="60">
        <v>0</v>
      </c>
      <c r="D11" s="60">
        <v>0</v>
      </c>
      <c r="E11" s="60">
        <v>19</v>
      </c>
      <c r="F11" s="34">
        <f>VLOOKUP(E11,Lønnstabell!$A$8:$B$90,2)*B11/100</f>
        <v>0</v>
      </c>
      <c r="G11" s="34">
        <f>VLOOKUP(E11,Lønnstabell!$A$8:$C$90,3)*B11/100</f>
        <v>0</v>
      </c>
      <c r="H11" s="34">
        <f t="shared" si="0"/>
        <v>0</v>
      </c>
      <c r="I11" s="34">
        <f>G11/12*D11*'div satser'!$C$2</f>
        <v>0</v>
      </c>
      <c r="J11" s="34">
        <f>'div satser'!$C$4/12*C11</f>
        <v>0</v>
      </c>
      <c r="K11" s="34">
        <f>(H11+J11)*'div satser'!$C$3</f>
        <v>0</v>
      </c>
      <c r="L11" s="34">
        <f>I11*'div satser'!$C$3</f>
        <v>0</v>
      </c>
      <c r="M11" s="34">
        <f>(F11*'div satser'!$C$6)/12*C11</f>
        <v>0</v>
      </c>
      <c r="N11" s="55">
        <f>M11*'div satser'!$C$3</f>
        <v>0</v>
      </c>
      <c r="O11" s="56">
        <f t="shared" si="1"/>
        <v>0</v>
      </c>
    </row>
    <row r="12" spans="1:15" ht="16.5" customHeight="1" thickBot="1">
      <c r="A12" s="63"/>
      <c r="B12" s="64">
        <v>0</v>
      </c>
      <c r="C12" s="65">
        <v>0</v>
      </c>
      <c r="D12" s="65">
        <v>0</v>
      </c>
      <c r="E12" s="65">
        <v>19</v>
      </c>
      <c r="F12" s="31">
        <f>VLOOKUP(E12,Lønnstabell!$A$8:$B$90,2)*B12/100</f>
        <v>0</v>
      </c>
      <c r="G12" s="31">
        <f>VLOOKUP(E12,Lønnstabell!$A$8:$C$90,3)*B12/100</f>
        <v>0</v>
      </c>
      <c r="H12" s="31">
        <f t="shared" si="0"/>
        <v>0</v>
      </c>
      <c r="I12" s="31">
        <f>G12/12*D12*'div satser'!$C$2</f>
        <v>0</v>
      </c>
      <c r="J12" s="31">
        <f>'div satser'!$C$4/12*C12</f>
        <v>0</v>
      </c>
      <c r="K12" s="31">
        <f>(H12+J12)*'div satser'!$C$3</f>
        <v>0</v>
      </c>
      <c r="L12" s="31">
        <f>I12*'div satser'!$C$3</f>
        <v>0</v>
      </c>
      <c r="M12" s="31">
        <f>(F12*'div satser'!$C$6)/12*C12</f>
        <v>0</v>
      </c>
      <c r="N12" s="73">
        <f>M12*'div satser'!$C$3</f>
        <v>0</v>
      </c>
      <c r="O12" s="74">
        <f t="shared" si="1"/>
        <v>0</v>
      </c>
    </row>
    <row r="15" spans="1:2" ht="12.75">
      <c r="A15" s="32"/>
      <c r="B15" s="57"/>
    </row>
    <row r="16" ht="12.75"/>
    <row r="17" ht="12.75">
      <c r="B17" s="29"/>
    </row>
    <row r="18" ht="12.75">
      <c r="B18" s="29"/>
    </row>
    <row r="19" ht="12.75">
      <c r="B19" s="29"/>
    </row>
    <row r="20" ht="12.75">
      <c r="B20" s="29"/>
    </row>
    <row r="21" ht="12.75">
      <c r="B21" s="29"/>
    </row>
    <row r="22" ht="12.75">
      <c r="B22" s="29"/>
    </row>
    <row r="23" ht="12.75">
      <c r="B23" s="29"/>
    </row>
    <row r="24" ht="12.75"/>
    <row r="25" ht="12.75"/>
  </sheetData>
  <sheetProtection sheet="1"/>
  <printOptions/>
  <pageMargins left="0.787401575" right="0.787401575" top="0.984251969" bottom="0.984251969" header="0.5" footer="0.5"/>
  <pageSetup fitToHeight="4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2:M19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22.57421875" style="29" customWidth="1"/>
    <col min="2" max="2" width="5.57421875" style="29" customWidth="1"/>
    <col min="3" max="3" width="13.421875" style="29" customWidth="1"/>
    <col min="4" max="4" width="14.421875" style="29" customWidth="1"/>
    <col min="5" max="5" width="10.8515625" style="29" customWidth="1"/>
    <col min="6" max="12" width="11.421875" style="29" customWidth="1"/>
    <col min="13" max="13" width="12.8515625" style="29" customWidth="1"/>
    <col min="14" max="16384" width="11.421875" style="29" customWidth="1"/>
  </cols>
  <sheetData>
    <row r="2" ht="19.5">
      <c r="A2" s="66" t="s">
        <v>35</v>
      </c>
    </row>
    <row r="3" ht="26.25" customHeight="1">
      <c r="A3" s="67" t="s">
        <v>40</v>
      </c>
    </row>
    <row r="4" spans="1:11" ht="14.25" customHeight="1">
      <c r="A4" s="28"/>
      <c r="J4" s="30"/>
      <c r="K4" s="30" t="str">
        <f>Årslønn!L4</f>
        <v>Lønnstabell pr 01.05.23 (LO Stat, Unio og YS Stat)</v>
      </c>
    </row>
    <row r="5" ht="13.5" thickBot="1">
      <c r="K5" s="33" t="str">
        <f>Årslønn!L5</f>
        <v>Oppdatert med nye satser pr 01.01.24</v>
      </c>
    </row>
    <row r="6" spans="1:13" s="53" customFormat="1" ht="60.75" thickBot="1">
      <c r="A6" s="36" t="s">
        <v>0</v>
      </c>
      <c r="B6" s="37" t="s">
        <v>27</v>
      </c>
      <c r="C6" s="37" t="s">
        <v>2</v>
      </c>
      <c r="D6" s="37" t="s">
        <v>3</v>
      </c>
      <c r="E6" s="37" t="s">
        <v>19</v>
      </c>
      <c r="F6" s="37" t="s">
        <v>20</v>
      </c>
      <c r="G6" s="37" t="s">
        <v>22</v>
      </c>
      <c r="H6" s="37" t="s">
        <v>37</v>
      </c>
      <c r="I6" s="37" t="s">
        <v>38</v>
      </c>
      <c r="J6" s="37" t="s">
        <v>21</v>
      </c>
      <c r="K6" s="37" t="s">
        <v>39</v>
      </c>
      <c r="L6" s="40" t="s">
        <v>14</v>
      </c>
      <c r="M6" s="44" t="s">
        <v>36</v>
      </c>
    </row>
    <row r="7" spans="1:13" ht="16.5" customHeight="1">
      <c r="A7" s="68"/>
      <c r="B7" s="69">
        <v>75</v>
      </c>
      <c r="C7" s="35">
        <f>VLOOKUP(B7,Lønnstabell!$A$8:$B$90,2)</f>
        <v>759100</v>
      </c>
      <c r="D7" s="35">
        <f>VLOOKUP(B7,Lønnstabell!$A$8:$C$90,3)</f>
        <v>758700</v>
      </c>
      <c r="E7" s="35">
        <f aca="true" t="shared" si="0" ref="E7:E12">D7/12*10.85</f>
        <v>685991.25</v>
      </c>
      <c r="F7" s="35">
        <f>E7*'div satser'!$C$2</f>
        <v>82318.95</v>
      </c>
      <c r="G7" s="35">
        <f>'div satser'!$C$4</f>
        <v>1665</v>
      </c>
      <c r="H7" s="35">
        <f>(E7+G7)*'div satser'!$C$3</f>
        <v>96959.53124999999</v>
      </c>
      <c r="I7" s="35">
        <f>F7*'div satser'!$C$3</f>
        <v>11606.97195</v>
      </c>
      <c r="J7" s="35">
        <f>(C7*'div satser'!$C$6)</f>
        <v>71355.4</v>
      </c>
      <c r="K7" s="35">
        <f>J7*'div satser'!$C$3</f>
        <v>10061.111399999998</v>
      </c>
      <c r="L7" s="41">
        <f aca="true" t="shared" si="1" ref="L7:L12">SUM(E7:K7)</f>
        <v>959958.2146000001</v>
      </c>
      <c r="M7" s="45">
        <f aca="true" t="shared" si="2" ref="M7:M12">L7/1628</f>
        <v>589.654922972973</v>
      </c>
    </row>
    <row r="8" spans="1:13" ht="16.5" customHeight="1">
      <c r="A8" s="58"/>
      <c r="B8" s="60">
        <v>70</v>
      </c>
      <c r="C8" s="34">
        <f>VLOOKUP(B8,Lønnstabell!$A$8:$B$90,2)</f>
        <v>692400</v>
      </c>
      <c r="D8" s="34">
        <f>VLOOKUP(B8,Lønnstabell!$A$8:$C$90,3)</f>
        <v>692000</v>
      </c>
      <c r="E8" s="34">
        <f t="shared" si="0"/>
        <v>625683.3333333333</v>
      </c>
      <c r="F8" s="34">
        <f>E8*'div satser'!$C$2</f>
        <v>75081.99999999999</v>
      </c>
      <c r="G8" s="34">
        <f>'div satser'!$C$4</f>
        <v>1665</v>
      </c>
      <c r="H8" s="34">
        <f>(E8+G8)*'div satser'!$C$3</f>
        <v>88456.11499999998</v>
      </c>
      <c r="I8" s="34">
        <f>F8*'div satser'!$C$3</f>
        <v>10586.561999999996</v>
      </c>
      <c r="J8" s="34">
        <f>(C8*'div satser'!$C$6)</f>
        <v>65085.6</v>
      </c>
      <c r="K8" s="34">
        <f>J8*'div satser'!$C$3</f>
        <v>9177.069599999999</v>
      </c>
      <c r="L8" s="42">
        <f t="shared" si="1"/>
        <v>875735.6799333333</v>
      </c>
      <c r="M8" s="46">
        <f t="shared" si="2"/>
        <v>537.9211793202293</v>
      </c>
    </row>
    <row r="9" spans="1:13" ht="16.5" customHeight="1">
      <c r="A9" s="71"/>
      <c r="B9" s="72">
        <v>65</v>
      </c>
      <c r="C9" s="34">
        <f>VLOOKUP(B9,Lønnstabell!$A$8:$B$90,2)</f>
        <v>635300</v>
      </c>
      <c r="D9" s="34">
        <f>VLOOKUP(B9,Lønnstabell!$A$8:$C$90,3)</f>
        <v>634900</v>
      </c>
      <c r="E9" s="34">
        <f t="shared" si="0"/>
        <v>574055.4166666666</v>
      </c>
      <c r="F9" s="34">
        <f>E9*'div satser'!$C$2</f>
        <v>68886.65</v>
      </c>
      <c r="G9" s="34">
        <f>'div satser'!$C$4</f>
        <v>1665</v>
      </c>
      <c r="H9" s="34">
        <f>(E9+G9)*'div satser'!$C$3</f>
        <v>81176.57874999999</v>
      </c>
      <c r="I9" s="34">
        <f>F9*'div satser'!$C$3</f>
        <v>9713.017649999998</v>
      </c>
      <c r="J9" s="34">
        <f>(C9*'div satser'!$C$6)</f>
        <v>59718.2</v>
      </c>
      <c r="K9" s="34">
        <f>J9*'div satser'!$C$3</f>
        <v>8420.266199999998</v>
      </c>
      <c r="L9" s="42">
        <f t="shared" si="1"/>
        <v>803635.1292666666</v>
      </c>
      <c r="M9" s="46">
        <f t="shared" si="2"/>
        <v>493.63337178542173</v>
      </c>
    </row>
    <row r="10" spans="1:13" ht="16.5" customHeight="1">
      <c r="A10" s="71"/>
      <c r="B10" s="72">
        <v>60</v>
      </c>
      <c r="C10" s="34">
        <f>VLOOKUP(B10,Lønnstabell!$A$8:$B$90,2)</f>
        <v>584500</v>
      </c>
      <c r="D10" s="34">
        <f>VLOOKUP(B10,Lønnstabell!$A$8:$C$90,3)</f>
        <v>584100</v>
      </c>
      <c r="E10" s="34">
        <f t="shared" si="0"/>
        <v>528123.75</v>
      </c>
      <c r="F10" s="34">
        <f>E10*'div satser'!$C$2</f>
        <v>63374.85</v>
      </c>
      <c r="G10" s="34">
        <f>'div satser'!$C$4</f>
        <v>1665</v>
      </c>
      <c r="H10" s="34">
        <f>(E10+G10)*'div satser'!$C$3</f>
        <v>74700.21375</v>
      </c>
      <c r="I10" s="34">
        <f>F10*'div satser'!$C$3</f>
        <v>8935.85385</v>
      </c>
      <c r="J10" s="34">
        <f>(C10*'div satser'!$C$6)</f>
        <v>54943</v>
      </c>
      <c r="K10" s="34">
        <f>J10*'div satser'!$C$3</f>
        <v>7746.962999999999</v>
      </c>
      <c r="L10" s="42">
        <f t="shared" si="1"/>
        <v>739489.6305999999</v>
      </c>
      <c r="M10" s="46">
        <f t="shared" si="2"/>
        <v>454.2319598280098</v>
      </c>
    </row>
    <row r="11" spans="1:13" ht="16.5" customHeight="1">
      <c r="A11" s="71"/>
      <c r="B11" s="72">
        <v>55</v>
      </c>
      <c r="C11" s="34">
        <f>VLOOKUP(B11,Lønnstabell!$A$8:$B$90,2)</f>
        <v>540500</v>
      </c>
      <c r="D11" s="34">
        <f>VLOOKUP(B11,Lønnstabell!$A$8:$C$90,3)</f>
        <v>540100</v>
      </c>
      <c r="E11" s="34">
        <f t="shared" si="0"/>
        <v>488340.4166666667</v>
      </c>
      <c r="F11" s="34">
        <f>E11*'div satser'!$C$2</f>
        <v>58600.85</v>
      </c>
      <c r="G11" s="34">
        <f>'div satser'!$C$4</f>
        <v>1665</v>
      </c>
      <c r="H11" s="34">
        <f>(E11+G11)*'div satser'!$C$3</f>
        <v>69090.76375</v>
      </c>
      <c r="I11" s="34">
        <f>F11*'div satser'!$C$3</f>
        <v>8262.71985</v>
      </c>
      <c r="J11" s="34">
        <f>(C11*'div satser'!$C$6)</f>
        <v>50807</v>
      </c>
      <c r="K11" s="34">
        <f>J11*'div satser'!$C$3</f>
        <v>7163.786999999999</v>
      </c>
      <c r="L11" s="42">
        <f t="shared" si="1"/>
        <v>683930.5372666668</v>
      </c>
      <c r="M11" s="46">
        <f t="shared" si="2"/>
        <v>420.1047526208027</v>
      </c>
    </row>
    <row r="12" spans="1:13" ht="16.5" customHeight="1" thickBot="1">
      <c r="A12" s="70"/>
      <c r="B12" s="65">
        <v>45</v>
      </c>
      <c r="C12" s="31">
        <f>VLOOKUP(B12,Lønnstabell!$A$8:$B$90,2)</f>
        <v>466600</v>
      </c>
      <c r="D12" s="31">
        <f>VLOOKUP(B12,Lønnstabell!$A$8:$C$90,3)</f>
        <v>466200</v>
      </c>
      <c r="E12" s="31">
        <f t="shared" si="0"/>
        <v>421522.5</v>
      </c>
      <c r="F12" s="31">
        <f>E12*'div satser'!$C$2</f>
        <v>50582.7</v>
      </c>
      <c r="G12" s="31">
        <f>'div satser'!$C$4</f>
        <v>1665</v>
      </c>
      <c r="H12" s="31">
        <f>(E12+G12)*'div satser'!$C$3</f>
        <v>59669.43749999999</v>
      </c>
      <c r="I12" s="31">
        <f>F12*'div satser'!$C$3</f>
        <v>7132.1606999999985</v>
      </c>
      <c r="J12" s="31">
        <f>(C12*'div satser'!$C$6)</f>
        <v>43860.4</v>
      </c>
      <c r="K12" s="31">
        <f>J12*'div satser'!$C$3</f>
        <v>6184.3164</v>
      </c>
      <c r="L12" s="43">
        <f t="shared" si="1"/>
        <v>590616.5146</v>
      </c>
      <c r="M12" s="47">
        <f t="shared" si="2"/>
        <v>362.78655687960685</v>
      </c>
    </row>
    <row r="13" ht="12.75">
      <c r="A13" s="32"/>
    </row>
    <row r="19" ht="12.75">
      <c r="C19" s="33" t="s">
        <v>18</v>
      </c>
    </row>
  </sheetData>
  <sheetProtection sheet="1"/>
  <printOptions/>
  <pageMargins left="0.787401575" right="0.787401575" top="0.984251969" bottom="0.984251969" header="0.5" footer="0.5"/>
  <pageSetup fitToHeight="4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2:O13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19.00390625" style="0" customWidth="1"/>
    <col min="2" max="2" width="13.57421875" style="0" customWidth="1"/>
    <col min="3" max="3" width="6.57421875" style="0" customWidth="1"/>
    <col min="4" max="4" width="11.140625" style="0" customWidth="1"/>
    <col min="5" max="5" width="11.421875" style="2" customWidth="1"/>
    <col min="6" max="6" width="11.28125" style="2" customWidth="1"/>
    <col min="7" max="7" width="12.57421875" style="2" bestFit="1" customWidth="1"/>
    <col min="8" max="11" width="11.57421875" style="2" bestFit="1" customWidth="1"/>
    <col min="12" max="12" width="15.7109375" style="2" customWidth="1"/>
    <col min="13" max="13" width="16.421875" style="2" customWidth="1"/>
    <col min="14" max="14" width="12.57421875" style="2" bestFit="1" customWidth="1"/>
    <col min="15" max="15" width="11.57421875" style="6" bestFit="1" customWidth="1"/>
  </cols>
  <sheetData>
    <row r="2" ht="19.5">
      <c r="A2" s="3" t="s">
        <v>16</v>
      </c>
    </row>
    <row r="3" ht="22.5" customHeight="1">
      <c r="A3" s="27" t="s">
        <v>29</v>
      </c>
    </row>
    <row r="4" spans="1:9" ht="17.25" customHeight="1">
      <c r="A4" s="27"/>
      <c r="I4" s="30" t="str">
        <f>Årslønn!L4</f>
        <v>Lønnstabell pr 01.05.23 (LO Stat, Unio og YS Stat)</v>
      </c>
    </row>
    <row r="5" ht="13.5" thickBot="1">
      <c r="I5" s="33" t="str">
        <f>Årslønn!L5</f>
        <v>Oppdatert med nye satser pr 01.01.24</v>
      </c>
    </row>
    <row r="6" spans="1:13" s="7" customFormat="1" ht="49.5" customHeight="1">
      <c r="A6" s="49" t="s">
        <v>0</v>
      </c>
      <c r="B6" s="50" t="s">
        <v>28</v>
      </c>
      <c r="C6" s="50" t="s">
        <v>7</v>
      </c>
      <c r="D6" s="51" t="s">
        <v>8</v>
      </c>
      <c r="E6" s="51" t="s">
        <v>9</v>
      </c>
      <c r="F6" s="50" t="s">
        <v>19</v>
      </c>
      <c r="G6" s="50" t="s">
        <v>20</v>
      </c>
      <c r="H6" s="50" t="s">
        <v>41</v>
      </c>
      <c r="I6" s="50" t="s">
        <v>38</v>
      </c>
      <c r="J6" s="50" t="s">
        <v>21</v>
      </c>
      <c r="K6" s="52" t="s">
        <v>43</v>
      </c>
      <c r="L6" s="48" t="s">
        <v>49</v>
      </c>
      <c r="M6" s="9"/>
    </row>
    <row r="7" spans="1:15" ht="16.5" customHeight="1">
      <c r="A7" s="58"/>
      <c r="B7" s="60">
        <v>72</v>
      </c>
      <c r="C7" s="60">
        <v>1</v>
      </c>
      <c r="D7" s="8">
        <f>VLOOKUP(B7,Lønnstabell!$A$8:$B$90,2)/1950*C7</f>
        <v>369.28205128205127</v>
      </c>
      <c r="E7" s="8">
        <f>VLOOKUP(B7,Lønnstabell!$A$8:$C$90,3)/1950*C7</f>
        <v>369.0769230769231</v>
      </c>
      <c r="F7" s="8">
        <f aca="true" t="shared" si="0" ref="F7:F12">E7</f>
        <v>369.0769230769231</v>
      </c>
      <c r="G7" s="8">
        <f>F7*'div satser'!$C$2</f>
        <v>44.28923076923077</v>
      </c>
      <c r="H7" s="8">
        <f>F7*'div satser'!$C$3</f>
        <v>52.03984615384615</v>
      </c>
      <c r="I7" s="8">
        <f>G7*'div satser'!$C$3</f>
        <v>6.244781538461538</v>
      </c>
      <c r="J7" s="8">
        <f>D7*'div satser'!$C$6</f>
        <v>34.71251282051282</v>
      </c>
      <c r="K7" s="38">
        <f>J7*'div satser'!$C$3</f>
        <v>4.894464307692307</v>
      </c>
      <c r="L7" s="39">
        <f aca="true" t="shared" si="1" ref="L7:L12">SUM(F7:K7)</f>
        <v>511.2577586666667</v>
      </c>
      <c r="M7" s="6" t="s">
        <v>18</v>
      </c>
      <c r="N7"/>
      <c r="O7"/>
    </row>
    <row r="8" spans="1:15" ht="16.5" customHeight="1">
      <c r="A8" s="58"/>
      <c r="B8" s="60">
        <v>70</v>
      </c>
      <c r="C8" s="60">
        <v>1</v>
      </c>
      <c r="D8" s="8">
        <f>VLOOKUP(B8,Lønnstabell!$A$8:$B$90,2)/1950*C8</f>
        <v>355.0769230769231</v>
      </c>
      <c r="E8" s="8">
        <f>VLOOKUP(B8,Lønnstabell!$A$8:$C$90,3)/1950*C8</f>
        <v>354.87179487179486</v>
      </c>
      <c r="F8" s="8">
        <f t="shared" si="0"/>
        <v>354.87179487179486</v>
      </c>
      <c r="G8" s="8">
        <f>F8*'div satser'!$C$2</f>
        <v>42.58461538461538</v>
      </c>
      <c r="H8" s="8">
        <f>F8*'div satser'!$C$3</f>
        <v>50.036923076923074</v>
      </c>
      <c r="I8" s="8">
        <f>G8*'div satser'!$C$3</f>
        <v>6.004430769230768</v>
      </c>
      <c r="J8" s="8">
        <f>D8*'div satser'!$C$6</f>
        <v>33.37723076923077</v>
      </c>
      <c r="K8" s="38">
        <f>J8*'div satser'!$C$3</f>
        <v>4.706189538461538</v>
      </c>
      <c r="L8" s="39">
        <f t="shared" si="1"/>
        <v>491.58118441025647</v>
      </c>
      <c r="M8" s="6"/>
      <c r="N8"/>
      <c r="O8"/>
    </row>
    <row r="9" spans="1:15" ht="16.5" customHeight="1">
      <c r="A9" s="58"/>
      <c r="B9" s="60">
        <v>65</v>
      </c>
      <c r="C9" s="60">
        <v>1</v>
      </c>
      <c r="D9" s="8">
        <f>VLOOKUP(B9,Lønnstabell!$A$8:$B$90,2)/1950*C9</f>
        <v>325.79487179487177</v>
      </c>
      <c r="E9" s="8">
        <f>VLOOKUP(B9,Lønnstabell!$A$8:$C$90,3)/1950*C9</f>
        <v>325.5897435897436</v>
      </c>
      <c r="F9" s="8">
        <f t="shared" si="0"/>
        <v>325.5897435897436</v>
      </c>
      <c r="G9" s="8">
        <f>F9*'div satser'!$C$2</f>
        <v>39.07076923076923</v>
      </c>
      <c r="H9" s="8">
        <f>F9*'div satser'!$C$3</f>
        <v>45.908153846153844</v>
      </c>
      <c r="I9" s="8">
        <f>G9*'div satser'!$C$3</f>
        <v>5.508978461538461</v>
      </c>
      <c r="J9" s="8">
        <f>D9*'div satser'!$C$6</f>
        <v>30.624717948717947</v>
      </c>
      <c r="K9" s="38">
        <f>J9*'div satser'!$C$3</f>
        <v>4.31808523076923</v>
      </c>
      <c r="L9" s="39">
        <f t="shared" si="1"/>
        <v>451.0204483076923</v>
      </c>
      <c r="M9" s="6"/>
      <c r="N9"/>
      <c r="O9"/>
    </row>
    <row r="10" spans="1:15" ht="16.5" customHeight="1">
      <c r="A10" s="61"/>
      <c r="B10" s="60">
        <v>60</v>
      </c>
      <c r="C10" s="60">
        <v>1</v>
      </c>
      <c r="D10" s="8">
        <f>VLOOKUP(B10,Lønnstabell!$A$8:$B$90,2)/1950*C10</f>
        <v>299.7435897435897</v>
      </c>
      <c r="E10" s="8">
        <f>VLOOKUP(B10,Lønnstabell!$A$8:$C$90,3)/1950*C10</f>
        <v>299.53846153846155</v>
      </c>
      <c r="F10" s="8">
        <f t="shared" si="0"/>
        <v>299.53846153846155</v>
      </c>
      <c r="G10" s="8">
        <f>F10*'div satser'!$C$2</f>
        <v>35.94461538461538</v>
      </c>
      <c r="H10" s="8">
        <f>F10*'div satser'!$C$3</f>
        <v>42.234923076923074</v>
      </c>
      <c r="I10" s="8">
        <f>G10*'div satser'!$C$3</f>
        <v>5.068190769230768</v>
      </c>
      <c r="J10" s="8">
        <f>D10*'div satser'!$C$6</f>
        <v>28.175897435897433</v>
      </c>
      <c r="K10" s="38">
        <f>J10*'div satser'!$C$3</f>
        <v>3.9728015384615376</v>
      </c>
      <c r="L10" s="39">
        <f t="shared" si="1"/>
        <v>414.9348897435897</v>
      </c>
      <c r="M10" s="6"/>
      <c r="N10"/>
      <c r="O10"/>
    </row>
    <row r="11" spans="1:15" ht="16.5" customHeight="1">
      <c r="A11" s="61"/>
      <c r="B11" s="60">
        <v>55</v>
      </c>
      <c r="C11" s="60">
        <v>1</v>
      </c>
      <c r="D11" s="8">
        <f>VLOOKUP(B11,Lønnstabell!$A$8:$B$90,2)/1950*C11</f>
        <v>277.1794871794872</v>
      </c>
      <c r="E11" s="8">
        <f>VLOOKUP(B11,Lønnstabell!$A$8:$C$90,3)/1950*C11</f>
        <v>276.97435897435895</v>
      </c>
      <c r="F11" s="8">
        <f t="shared" si="0"/>
        <v>276.97435897435895</v>
      </c>
      <c r="G11" s="8">
        <f>F11*'div satser'!$C$2</f>
        <v>33.23692307692307</v>
      </c>
      <c r="H11" s="8">
        <f>F11*'div satser'!$C$3</f>
        <v>39.05338461538461</v>
      </c>
      <c r="I11" s="8">
        <f>G11*'div satser'!$C$3</f>
        <v>4.6864061538461526</v>
      </c>
      <c r="J11" s="8">
        <f>D11*'div satser'!$C$6</f>
        <v>26.054871794871794</v>
      </c>
      <c r="K11" s="38">
        <f>J11*'div satser'!$C$3</f>
        <v>3.6737369230769223</v>
      </c>
      <c r="L11" s="39">
        <f t="shared" si="1"/>
        <v>383.6796815384616</v>
      </c>
      <c r="M11" s="6"/>
      <c r="N11"/>
      <c r="O11"/>
    </row>
    <row r="12" spans="1:15" ht="16.5" customHeight="1" thickBot="1">
      <c r="A12" s="63"/>
      <c r="B12" s="65">
        <v>50</v>
      </c>
      <c r="C12" s="65">
        <v>1</v>
      </c>
      <c r="D12" s="8">
        <f>VLOOKUP(B12,Lønnstabell!$A$8:$B$90,2)/1950*C12</f>
        <v>257.5897435897436</v>
      </c>
      <c r="E12" s="8">
        <f>VLOOKUP(B12,Lønnstabell!$A$8:$C$90,3)/1950*C12</f>
        <v>257.38461538461536</v>
      </c>
      <c r="F12" s="8">
        <f t="shared" si="0"/>
        <v>257.38461538461536</v>
      </c>
      <c r="G12" s="8">
        <f>F12*'div satser'!$C$2</f>
        <v>30.886153846153842</v>
      </c>
      <c r="H12" s="8">
        <f>F12*'div satser'!$C$3</f>
        <v>36.291230769230765</v>
      </c>
      <c r="I12" s="8">
        <f>G12*'div satser'!$C$3</f>
        <v>4.354947692307691</v>
      </c>
      <c r="J12" s="8">
        <f>D12*'div satser'!$C$6</f>
        <v>24.213435897435897</v>
      </c>
      <c r="K12" s="38">
        <f>J12*'div satser'!$C$3</f>
        <v>3.414094461538461</v>
      </c>
      <c r="L12" s="39">
        <f t="shared" si="1"/>
        <v>356.544478051282</v>
      </c>
      <c r="M12" s="6"/>
      <c r="N12"/>
      <c r="O12"/>
    </row>
    <row r="13" spans="4:15" ht="12.75">
      <c r="D13" s="2"/>
      <c r="N13" s="6"/>
      <c r="O13"/>
    </row>
    <row r="16" ht="12.75"/>
    <row r="17" ht="12.75"/>
    <row r="18" ht="12.75"/>
    <row r="19" ht="12.75"/>
    <row r="20" ht="12.75"/>
  </sheetData>
  <sheetProtection sheet="1"/>
  <printOptions/>
  <pageMargins left="0.787401575" right="0.787401575" top="0.984251969" bottom="0.984251969" header="0.5" footer="0.5"/>
  <pageSetup fitToHeight="4" fitToWidth="1"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A1:Q111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6.28125" style="0" customWidth="1"/>
    <col min="2" max="2" width="9.57421875" style="0" customWidth="1"/>
    <col min="3" max="3" width="11.57421875" style="0" customWidth="1"/>
    <col min="4" max="4" width="8.8515625" style="1" customWidth="1"/>
    <col min="5" max="5" width="29.7109375" style="0" customWidth="1"/>
    <col min="6" max="6" width="11.421875" style="1" customWidth="1"/>
    <col min="9" max="9" width="6.57421875" style="0" customWidth="1"/>
  </cols>
  <sheetData>
    <row r="1" spans="1:17" ht="15">
      <c r="A1" s="93" t="s">
        <v>44</v>
      </c>
      <c r="B1" s="93"/>
      <c r="C1" s="93"/>
      <c r="D1" s="93"/>
      <c r="E1" s="93"/>
      <c r="F1" s="93"/>
      <c r="G1" s="13"/>
      <c r="H1" s="13"/>
      <c r="J1" s="94"/>
      <c r="K1" s="94"/>
      <c r="L1" s="94"/>
      <c r="M1" s="94"/>
      <c r="N1" s="94"/>
      <c r="O1" s="94"/>
      <c r="P1" s="94"/>
      <c r="Q1" s="94"/>
    </row>
    <row r="2" spans="1:17" ht="23.25">
      <c r="A2" s="95" t="s">
        <v>46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76"/>
      <c r="P2" s="79"/>
      <c r="Q2" s="76"/>
    </row>
    <row r="3" spans="1:17" ht="32.25" thickBot="1">
      <c r="A3" s="96" t="s">
        <v>47</v>
      </c>
      <c r="B3" s="97"/>
      <c r="C3" s="97"/>
      <c r="D3" s="98"/>
      <c r="E3" s="99"/>
      <c r="F3" s="99"/>
      <c r="G3" s="84"/>
      <c r="H3" s="84"/>
      <c r="I3" s="84"/>
      <c r="J3" s="80"/>
      <c r="K3" s="81"/>
      <c r="L3" s="75"/>
      <c r="M3" s="77"/>
      <c r="N3" s="79"/>
      <c r="O3" s="76"/>
      <c r="P3" s="78"/>
      <c r="Q3" s="76"/>
    </row>
    <row r="4" spans="1:3" s="10" customFormat="1" ht="12.75">
      <c r="A4" s="14"/>
      <c r="B4" s="15">
        <v>1</v>
      </c>
      <c r="C4" s="16">
        <v>2</v>
      </c>
    </row>
    <row r="5" spans="1:3" s="10" customFormat="1" ht="11.25" customHeight="1">
      <c r="A5" s="17"/>
      <c r="B5" s="18" t="s">
        <v>4</v>
      </c>
      <c r="C5" s="19"/>
    </row>
    <row r="6" spans="1:3" s="10" customFormat="1" ht="12.75" customHeight="1">
      <c r="A6" s="20" t="s">
        <v>23</v>
      </c>
      <c r="B6" s="21" t="s">
        <v>24</v>
      </c>
      <c r="C6" s="25" t="s">
        <v>25</v>
      </c>
    </row>
    <row r="7" spans="1:3" s="10" customFormat="1" ht="12.75">
      <c r="A7" s="82" t="s">
        <v>26</v>
      </c>
      <c r="B7" s="21" t="s">
        <v>5</v>
      </c>
      <c r="C7" s="18" t="s">
        <v>6</v>
      </c>
    </row>
    <row r="8" spans="1:6" ht="15">
      <c r="A8" s="88">
        <v>19</v>
      </c>
      <c r="B8" s="89">
        <v>350800</v>
      </c>
      <c r="C8" s="89">
        <v>350400</v>
      </c>
      <c r="F8"/>
    </row>
    <row r="9" spans="1:6" ht="15">
      <c r="A9" s="85">
        <v>20</v>
      </c>
      <c r="B9" s="86">
        <v>354300</v>
      </c>
      <c r="C9" s="86">
        <v>353900</v>
      </c>
      <c r="F9"/>
    </row>
    <row r="10" spans="1:6" ht="15">
      <c r="A10" s="88">
        <v>21</v>
      </c>
      <c r="B10" s="89">
        <v>358300</v>
      </c>
      <c r="C10" s="89">
        <v>357900</v>
      </c>
      <c r="F10"/>
    </row>
    <row r="11" spans="1:6" ht="15">
      <c r="A11" s="85">
        <v>22</v>
      </c>
      <c r="B11" s="86">
        <v>361900</v>
      </c>
      <c r="C11" s="86">
        <v>361500</v>
      </c>
      <c r="F11"/>
    </row>
    <row r="12" spans="1:6" ht="15">
      <c r="A12" s="88">
        <v>23</v>
      </c>
      <c r="B12" s="89">
        <v>365800</v>
      </c>
      <c r="C12" s="89">
        <v>365400</v>
      </c>
      <c r="F12"/>
    </row>
    <row r="13" spans="1:6" ht="15">
      <c r="A13" s="85">
        <v>24</v>
      </c>
      <c r="B13" s="86">
        <v>369800</v>
      </c>
      <c r="C13" s="86">
        <v>369400</v>
      </c>
      <c r="F13"/>
    </row>
    <row r="14" spans="1:6" ht="15">
      <c r="A14" s="88">
        <v>25</v>
      </c>
      <c r="B14" s="89">
        <v>374000</v>
      </c>
      <c r="C14" s="89">
        <v>373600</v>
      </c>
      <c r="F14"/>
    </row>
    <row r="15" spans="1:6" ht="15">
      <c r="A15" s="85">
        <v>26</v>
      </c>
      <c r="B15" s="86">
        <v>378300</v>
      </c>
      <c r="C15" s="86">
        <v>377900</v>
      </c>
      <c r="F15"/>
    </row>
    <row r="16" spans="1:6" ht="15">
      <c r="A16" s="88">
        <v>27</v>
      </c>
      <c r="B16" s="89">
        <v>382300</v>
      </c>
      <c r="C16" s="89">
        <v>381900</v>
      </c>
      <c r="F16"/>
    </row>
    <row r="17" spans="1:6" ht="15">
      <c r="A17" s="85">
        <v>28</v>
      </c>
      <c r="B17" s="86">
        <v>386300</v>
      </c>
      <c r="C17" s="86">
        <v>385900</v>
      </c>
      <c r="F17"/>
    </row>
    <row r="18" spans="1:6" ht="15">
      <c r="A18" s="88">
        <v>29</v>
      </c>
      <c r="B18" s="89">
        <v>390100</v>
      </c>
      <c r="C18" s="89">
        <v>389700</v>
      </c>
      <c r="F18"/>
    </row>
    <row r="19" spans="1:6" ht="15">
      <c r="A19" s="85">
        <v>30</v>
      </c>
      <c r="B19" s="86">
        <v>394100</v>
      </c>
      <c r="C19" s="86">
        <v>393700</v>
      </c>
      <c r="F19"/>
    </row>
    <row r="20" spans="1:6" ht="15">
      <c r="A20" s="88">
        <v>31</v>
      </c>
      <c r="B20" s="89">
        <v>397700</v>
      </c>
      <c r="C20" s="89">
        <v>397300</v>
      </c>
      <c r="F20"/>
    </row>
    <row r="21" spans="1:6" ht="15">
      <c r="A21" s="85">
        <v>32</v>
      </c>
      <c r="B21" s="86">
        <v>401900</v>
      </c>
      <c r="C21" s="86">
        <v>401500</v>
      </c>
      <c r="F21"/>
    </row>
    <row r="22" spans="1:6" ht="15">
      <c r="A22" s="88">
        <v>33</v>
      </c>
      <c r="B22" s="89">
        <v>405800</v>
      </c>
      <c r="C22" s="89">
        <v>405400</v>
      </c>
      <c r="F22"/>
    </row>
    <row r="23" spans="1:6" ht="15">
      <c r="A23" s="85">
        <v>34</v>
      </c>
      <c r="B23" s="86">
        <v>410000</v>
      </c>
      <c r="C23" s="86">
        <v>409600</v>
      </c>
      <c r="F23"/>
    </row>
    <row r="24" spans="1:6" ht="15">
      <c r="A24" s="88">
        <v>35</v>
      </c>
      <c r="B24" s="89">
        <v>414200</v>
      </c>
      <c r="C24" s="89">
        <v>413800</v>
      </c>
      <c r="F24"/>
    </row>
    <row r="25" spans="1:6" ht="15">
      <c r="A25" s="85">
        <v>36</v>
      </c>
      <c r="B25" s="86">
        <v>418500</v>
      </c>
      <c r="C25" s="86">
        <v>418100</v>
      </c>
      <c r="F25"/>
    </row>
    <row r="26" spans="1:6" ht="15">
      <c r="A26" s="88">
        <v>37</v>
      </c>
      <c r="B26" s="89">
        <v>423300</v>
      </c>
      <c r="C26" s="89">
        <v>422900</v>
      </c>
      <c r="F26"/>
    </row>
    <row r="27" spans="1:6" ht="15">
      <c r="A27" s="85">
        <v>38</v>
      </c>
      <c r="B27" s="86">
        <v>428100</v>
      </c>
      <c r="C27" s="86">
        <v>427700</v>
      </c>
      <c r="F27"/>
    </row>
    <row r="28" spans="1:6" ht="15">
      <c r="A28" s="88">
        <v>39</v>
      </c>
      <c r="B28" s="89">
        <v>432800</v>
      </c>
      <c r="C28" s="89">
        <v>432400</v>
      </c>
      <c r="F28"/>
    </row>
    <row r="29" spans="1:6" ht="15">
      <c r="A29" s="85">
        <v>40</v>
      </c>
      <c r="B29" s="86">
        <v>437900</v>
      </c>
      <c r="C29" s="86">
        <v>437500</v>
      </c>
      <c r="F29"/>
    </row>
    <row r="30" spans="1:6" ht="15">
      <c r="A30" s="88">
        <v>41</v>
      </c>
      <c r="B30" s="89">
        <v>443000</v>
      </c>
      <c r="C30" s="89">
        <v>442600</v>
      </c>
      <c r="F30"/>
    </row>
    <row r="31" spans="1:6" ht="15">
      <c r="A31" s="85">
        <v>42</v>
      </c>
      <c r="B31" s="86">
        <v>448900</v>
      </c>
      <c r="C31" s="86">
        <v>448500</v>
      </c>
      <c r="F31"/>
    </row>
    <row r="32" spans="1:6" ht="15">
      <c r="A32" s="88">
        <v>43</v>
      </c>
      <c r="B32" s="89">
        <v>454500</v>
      </c>
      <c r="C32" s="89">
        <v>454100</v>
      </c>
      <c r="F32"/>
    </row>
    <row r="33" spans="1:6" ht="15">
      <c r="A33" s="85">
        <v>44</v>
      </c>
      <c r="B33" s="86">
        <v>460600</v>
      </c>
      <c r="C33" s="86">
        <v>460200</v>
      </c>
      <c r="F33"/>
    </row>
    <row r="34" spans="1:6" ht="15">
      <c r="A34" s="88">
        <v>45</v>
      </c>
      <c r="B34" s="89">
        <v>466600</v>
      </c>
      <c r="C34" s="89">
        <v>466200</v>
      </c>
      <c r="F34"/>
    </row>
    <row r="35" spans="1:6" ht="15">
      <c r="A35" s="85">
        <v>46</v>
      </c>
      <c r="B35" s="86">
        <v>472900</v>
      </c>
      <c r="C35" s="86">
        <v>472500</v>
      </c>
      <c r="F35"/>
    </row>
    <row r="36" spans="1:6" ht="15">
      <c r="A36" s="88">
        <v>47</v>
      </c>
      <c r="B36" s="89">
        <v>480900</v>
      </c>
      <c r="C36" s="89">
        <v>480500</v>
      </c>
      <c r="F36"/>
    </row>
    <row r="37" spans="1:6" ht="15">
      <c r="A37" s="85">
        <v>48</v>
      </c>
      <c r="B37" s="86">
        <v>487800</v>
      </c>
      <c r="C37" s="86">
        <v>487400</v>
      </c>
      <c r="F37"/>
    </row>
    <row r="38" spans="1:6" ht="15">
      <c r="A38" s="88">
        <v>49</v>
      </c>
      <c r="B38" s="89">
        <v>495200</v>
      </c>
      <c r="C38" s="89">
        <v>494800</v>
      </c>
      <c r="F38"/>
    </row>
    <row r="39" spans="1:6" ht="15">
      <c r="A39" s="85">
        <v>50</v>
      </c>
      <c r="B39" s="86">
        <v>502300</v>
      </c>
      <c r="C39" s="86">
        <v>501900</v>
      </c>
      <c r="F39"/>
    </row>
    <row r="40" spans="1:6" ht="15">
      <c r="A40" s="88">
        <v>51</v>
      </c>
      <c r="B40" s="89">
        <v>509300</v>
      </c>
      <c r="C40" s="89">
        <v>508900</v>
      </c>
      <c r="F40"/>
    </row>
    <row r="41" spans="1:6" ht="15">
      <c r="A41" s="85">
        <v>52</v>
      </c>
      <c r="B41" s="86">
        <v>516800</v>
      </c>
      <c r="C41" s="86">
        <v>516400</v>
      </c>
      <c r="F41"/>
    </row>
    <row r="42" spans="1:6" ht="15">
      <c r="A42" s="88">
        <v>53</v>
      </c>
      <c r="B42" s="89">
        <v>524700</v>
      </c>
      <c r="C42" s="89">
        <v>524300</v>
      </c>
      <c r="F42"/>
    </row>
    <row r="43" spans="1:6" ht="15">
      <c r="A43" s="85">
        <v>54</v>
      </c>
      <c r="B43" s="86">
        <v>532200</v>
      </c>
      <c r="C43" s="86">
        <v>531800</v>
      </c>
      <c r="F43"/>
    </row>
    <row r="44" spans="1:6" ht="15">
      <c r="A44" s="88">
        <v>55</v>
      </c>
      <c r="B44" s="89">
        <v>540500</v>
      </c>
      <c r="C44" s="89">
        <v>540100</v>
      </c>
      <c r="F44"/>
    </row>
    <row r="45" spans="1:6" ht="15">
      <c r="A45" s="85">
        <v>56</v>
      </c>
      <c r="B45" s="86">
        <v>548600</v>
      </c>
      <c r="C45" s="86">
        <v>548200</v>
      </c>
      <c r="F45"/>
    </row>
    <row r="46" spans="1:6" ht="15">
      <c r="A46" s="88">
        <v>57</v>
      </c>
      <c r="B46" s="89">
        <v>557100</v>
      </c>
      <c r="C46" s="89">
        <v>556700</v>
      </c>
      <c r="F46"/>
    </row>
    <row r="47" spans="1:6" ht="15">
      <c r="A47" s="85">
        <v>58</v>
      </c>
      <c r="B47" s="86">
        <v>565900</v>
      </c>
      <c r="C47" s="86">
        <v>565500</v>
      </c>
      <c r="F47"/>
    </row>
    <row r="48" spans="1:6" ht="15">
      <c r="A48" s="88">
        <v>59</v>
      </c>
      <c r="B48" s="89">
        <v>575400</v>
      </c>
      <c r="C48" s="89">
        <v>575000</v>
      </c>
      <c r="F48"/>
    </row>
    <row r="49" spans="1:6" ht="15">
      <c r="A49" s="85">
        <v>60</v>
      </c>
      <c r="B49" s="86">
        <v>584500</v>
      </c>
      <c r="C49" s="86">
        <v>584100</v>
      </c>
      <c r="F49"/>
    </row>
    <row r="50" spans="1:6" ht="15">
      <c r="A50" s="90">
        <v>61</v>
      </c>
      <c r="B50" s="89">
        <v>594500</v>
      </c>
      <c r="C50" s="89">
        <v>594100</v>
      </c>
      <c r="F50"/>
    </row>
    <row r="51" spans="1:6" ht="15">
      <c r="A51" s="87">
        <v>62</v>
      </c>
      <c r="B51" s="86">
        <v>604900</v>
      </c>
      <c r="C51" s="86">
        <v>604500</v>
      </c>
      <c r="F51"/>
    </row>
    <row r="52" spans="1:6" ht="15">
      <c r="A52" s="90">
        <v>63</v>
      </c>
      <c r="B52" s="89">
        <v>615700</v>
      </c>
      <c r="C52" s="89">
        <v>615300</v>
      </c>
      <c r="F52"/>
    </row>
    <row r="53" spans="1:6" ht="15">
      <c r="A53" s="87">
        <v>64</v>
      </c>
      <c r="B53" s="86">
        <v>624500</v>
      </c>
      <c r="C53" s="86">
        <v>624100</v>
      </c>
      <c r="F53"/>
    </row>
    <row r="54" spans="1:6" ht="15">
      <c r="A54" s="90">
        <v>65</v>
      </c>
      <c r="B54" s="89">
        <v>635300</v>
      </c>
      <c r="C54" s="89">
        <v>634900</v>
      </c>
      <c r="F54"/>
    </row>
    <row r="55" spans="1:6" ht="15">
      <c r="A55" s="87">
        <v>66</v>
      </c>
      <c r="B55" s="86">
        <v>646000</v>
      </c>
      <c r="C55" s="86">
        <v>645600</v>
      </c>
      <c r="F55"/>
    </row>
    <row r="56" spans="1:6" ht="15">
      <c r="A56" s="90">
        <v>67</v>
      </c>
      <c r="B56" s="89">
        <v>657300</v>
      </c>
      <c r="C56" s="89">
        <v>656900</v>
      </c>
      <c r="F56"/>
    </row>
    <row r="57" spans="1:6" ht="15">
      <c r="A57" s="87">
        <v>68</v>
      </c>
      <c r="B57" s="86">
        <v>667700</v>
      </c>
      <c r="C57" s="86">
        <v>667300</v>
      </c>
      <c r="F57"/>
    </row>
    <row r="58" spans="1:6" ht="15">
      <c r="A58" s="90">
        <v>69</v>
      </c>
      <c r="B58" s="89">
        <v>679700</v>
      </c>
      <c r="C58" s="89">
        <v>679300</v>
      </c>
      <c r="F58"/>
    </row>
    <row r="59" spans="1:6" ht="15">
      <c r="A59" s="87">
        <v>70</v>
      </c>
      <c r="B59" s="86">
        <v>692400</v>
      </c>
      <c r="C59" s="86">
        <v>692000</v>
      </c>
      <c r="F59"/>
    </row>
    <row r="60" spans="1:6" ht="15">
      <c r="A60" s="90">
        <v>71</v>
      </c>
      <c r="B60" s="89">
        <v>708000</v>
      </c>
      <c r="C60" s="89">
        <v>707600</v>
      </c>
      <c r="F60"/>
    </row>
    <row r="61" spans="1:6" ht="15">
      <c r="A61" s="87">
        <v>72</v>
      </c>
      <c r="B61" s="86">
        <v>720100</v>
      </c>
      <c r="C61" s="86">
        <v>719700</v>
      </c>
      <c r="F61"/>
    </row>
    <row r="62" spans="1:6" ht="15">
      <c r="A62" s="90">
        <v>73</v>
      </c>
      <c r="B62" s="89">
        <v>732300</v>
      </c>
      <c r="C62" s="89">
        <v>731900</v>
      </c>
      <c r="F62"/>
    </row>
    <row r="63" spans="1:6" ht="15">
      <c r="A63" s="87">
        <v>74</v>
      </c>
      <c r="B63" s="86">
        <v>745000</v>
      </c>
      <c r="C63" s="86">
        <v>744600</v>
      </c>
      <c r="F63"/>
    </row>
    <row r="64" spans="1:6" ht="15">
      <c r="A64" s="90">
        <v>75</v>
      </c>
      <c r="B64" s="89">
        <v>759100</v>
      </c>
      <c r="C64" s="89">
        <v>758700</v>
      </c>
      <c r="F64"/>
    </row>
    <row r="65" spans="1:6" ht="15">
      <c r="A65" s="87">
        <v>76</v>
      </c>
      <c r="B65" s="86">
        <v>777900</v>
      </c>
      <c r="C65" s="86">
        <v>777500</v>
      </c>
      <c r="F65"/>
    </row>
    <row r="66" spans="1:6" ht="15">
      <c r="A66" s="90">
        <v>77</v>
      </c>
      <c r="B66" s="89">
        <v>796600</v>
      </c>
      <c r="C66" s="89">
        <v>796200</v>
      </c>
      <c r="F66"/>
    </row>
    <row r="67" spans="1:6" ht="15">
      <c r="A67" s="87">
        <v>78</v>
      </c>
      <c r="B67" s="86">
        <v>821100</v>
      </c>
      <c r="C67" s="86">
        <v>820700</v>
      </c>
      <c r="F67"/>
    </row>
    <row r="68" spans="1:6" ht="15">
      <c r="A68" s="90">
        <v>79</v>
      </c>
      <c r="B68" s="89">
        <v>845900</v>
      </c>
      <c r="C68" s="89">
        <v>845500</v>
      </c>
      <c r="F68"/>
    </row>
    <row r="69" spans="1:6" ht="15">
      <c r="A69" s="87">
        <v>80</v>
      </c>
      <c r="B69" s="86">
        <v>870900</v>
      </c>
      <c r="C69" s="86">
        <v>870500</v>
      </c>
      <c r="F69"/>
    </row>
    <row r="70" spans="1:6" ht="15">
      <c r="A70" s="90">
        <v>81</v>
      </c>
      <c r="B70" s="89">
        <v>895500</v>
      </c>
      <c r="C70" s="89">
        <v>895100</v>
      </c>
      <c r="F70"/>
    </row>
    <row r="71" spans="1:6" ht="15">
      <c r="A71" s="87">
        <v>82</v>
      </c>
      <c r="B71" s="86">
        <v>919200</v>
      </c>
      <c r="C71" s="86">
        <v>918800</v>
      </c>
      <c r="F71"/>
    </row>
    <row r="72" spans="1:6" ht="15">
      <c r="A72" s="90">
        <v>83</v>
      </c>
      <c r="B72" s="89">
        <v>942700</v>
      </c>
      <c r="C72" s="89">
        <v>942300</v>
      </c>
      <c r="F72"/>
    </row>
    <row r="73" spans="1:6" ht="15">
      <c r="A73" s="87">
        <v>84</v>
      </c>
      <c r="B73" s="86">
        <v>966300</v>
      </c>
      <c r="C73" s="86">
        <v>965900</v>
      </c>
      <c r="F73"/>
    </row>
    <row r="74" spans="1:6" ht="15">
      <c r="A74" s="90">
        <v>85</v>
      </c>
      <c r="B74" s="89">
        <v>996000</v>
      </c>
      <c r="C74" s="89">
        <v>995600</v>
      </c>
      <c r="F74"/>
    </row>
    <row r="75" spans="1:6" ht="15">
      <c r="A75" s="87">
        <v>86</v>
      </c>
      <c r="B75" s="86">
        <v>1025200</v>
      </c>
      <c r="C75" s="86">
        <v>1024800</v>
      </c>
      <c r="F75"/>
    </row>
    <row r="76" spans="1:6" ht="15">
      <c r="A76" s="90">
        <v>87</v>
      </c>
      <c r="B76" s="89">
        <v>1055200</v>
      </c>
      <c r="C76" s="89">
        <v>1054800</v>
      </c>
      <c r="F76"/>
    </row>
    <row r="77" spans="1:6" ht="15">
      <c r="A77" s="87">
        <v>88</v>
      </c>
      <c r="B77" s="86">
        <v>1078600</v>
      </c>
      <c r="C77" s="86">
        <v>1078200</v>
      </c>
      <c r="F77"/>
    </row>
    <row r="78" spans="1:6" ht="15">
      <c r="A78" s="90">
        <v>89</v>
      </c>
      <c r="B78" s="89">
        <v>1102200</v>
      </c>
      <c r="C78" s="89">
        <v>1101800</v>
      </c>
      <c r="F78"/>
    </row>
    <row r="79" spans="1:6" ht="15">
      <c r="A79" s="87">
        <v>90</v>
      </c>
      <c r="B79" s="86">
        <v>1125800</v>
      </c>
      <c r="C79" s="86">
        <v>1125400</v>
      </c>
      <c r="F79"/>
    </row>
    <row r="80" spans="1:6" ht="15">
      <c r="A80" s="90">
        <v>91</v>
      </c>
      <c r="B80" s="89">
        <v>1149700</v>
      </c>
      <c r="C80" s="89">
        <v>1149300</v>
      </c>
      <c r="F80"/>
    </row>
    <row r="81" spans="1:6" ht="15">
      <c r="A81" s="87">
        <v>92</v>
      </c>
      <c r="B81" s="86">
        <v>1173100</v>
      </c>
      <c r="C81" s="86">
        <v>1172700</v>
      </c>
      <c r="F81"/>
    </row>
    <row r="82" spans="1:6" ht="15">
      <c r="A82" s="90">
        <v>93</v>
      </c>
      <c r="B82" s="89">
        <v>1196800</v>
      </c>
      <c r="C82" s="89">
        <v>1196400</v>
      </c>
      <c r="F82"/>
    </row>
    <row r="83" spans="1:6" ht="15">
      <c r="A83" s="87">
        <v>94</v>
      </c>
      <c r="B83" s="86">
        <v>1220400</v>
      </c>
      <c r="C83" s="86">
        <v>1220000</v>
      </c>
      <c r="F83"/>
    </row>
    <row r="84" spans="1:6" ht="15">
      <c r="A84" s="90">
        <v>95</v>
      </c>
      <c r="B84" s="89">
        <v>1244200</v>
      </c>
      <c r="C84" s="89">
        <v>1243800</v>
      </c>
      <c r="F84"/>
    </row>
    <row r="85" spans="1:6" ht="15">
      <c r="A85" s="87">
        <v>96</v>
      </c>
      <c r="B85" s="86">
        <v>1267300</v>
      </c>
      <c r="C85" s="86">
        <v>1266900</v>
      </c>
      <c r="F85"/>
    </row>
    <row r="86" spans="1:6" ht="15">
      <c r="A86" s="90">
        <v>97</v>
      </c>
      <c r="B86" s="89">
        <v>1290500</v>
      </c>
      <c r="C86" s="89">
        <v>1290100</v>
      </c>
      <c r="F86"/>
    </row>
    <row r="87" spans="1:6" ht="15">
      <c r="A87" s="87">
        <v>98</v>
      </c>
      <c r="B87" s="86">
        <v>1313600</v>
      </c>
      <c r="C87" s="86">
        <v>1313200</v>
      </c>
      <c r="F87"/>
    </row>
    <row r="88" spans="1:6" ht="15">
      <c r="A88" s="90">
        <v>99</v>
      </c>
      <c r="B88" s="89">
        <v>1335800</v>
      </c>
      <c r="C88" s="89">
        <v>1335400</v>
      </c>
      <c r="F88"/>
    </row>
    <row r="89" spans="1:6" ht="15">
      <c r="A89" s="87">
        <v>100</v>
      </c>
      <c r="B89" s="86">
        <v>1357900</v>
      </c>
      <c r="C89" s="86">
        <v>1357500</v>
      </c>
      <c r="F89"/>
    </row>
    <row r="90" spans="1:6" ht="15">
      <c r="A90" s="90">
        <v>101</v>
      </c>
      <c r="B90" s="89">
        <v>1380100</v>
      </c>
      <c r="C90" s="89">
        <v>1379700</v>
      </c>
      <c r="F90"/>
    </row>
    <row r="91" spans="1:6" ht="12.75">
      <c r="A91" s="26"/>
      <c r="B91" s="26"/>
      <c r="C91" s="26"/>
      <c r="F91"/>
    </row>
    <row r="92" spans="1:6" ht="12.75">
      <c r="A92" s="91" t="s">
        <v>45</v>
      </c>
      <c r="B92" s="91"/>
      <c r="C92" s="91"/>
      <c r="D92" s="91"/>
      <c r="F92"/>
    </row>
    <row r="93" spans="1:6" ht="12.75">
      <c r="A93" s="92"/>
      <c r="B93" s="92"/>
      <c r="C93" s="92"/>
      <c r="D93" s="92"/>
      <c r="F93"/>
    </row>
    <row r="94" spans="1:6" ht="12.75">
      <c r="A94" s="92"/>
      <c r="B94" s="92"/>
      <c r="C94" s="92"/>
      <c r="D94" s="92"/>
      <c r="F94"/>
    </row>
    <row r="95" spans="1:6" ht="12.75">
      <c r="A95" s="92"/>
      <c r="B95" s="92"/>
      <c r="C95" s="92"/>
      <c r="D95" s="92"/>
      <c r="F95"/>
    </row>
    <row r="96" spans="1:6" ht="12.75">
      <c r="A96" s="92"/>
      <c r="B96" s="92"/>
      <c r="C96" s="92"/>
      <c r="D96" s="92"/>
      <c r="F96"/>
    </row>
    <row r="97" spans="1:6" ht="12.75">
      <c r="A97" s="92"/>
      <c r="B97" s="92"/>
      <c r="C97" s="92"/>
      <c r="D97" s="92"/>
      <c r="F97"/>
    </row>
    <row r="98" spans="1:6" ht="12.75">
      <c r="A98" s="92"/>
      <c r="B98" s="92"/>
      <c r="C98" s="92"/>
      <c r="D98" s="92"/>
      <c r="F98"/>
    </row>
    <row r="99" spans="1:6" ht="12.75">
      <c r="A99" s="92"/>
      <c r="B99" s="92"/>
      <c r="C99" s="92"/>
      <c r="D99" s="92"/>
      <c r="F99"/>
    </row>
    <row r="100" spans="1:6" ht="12.75">
      <c r="A100" s="92"/>
      <c r="B100" s="92"/>
      <c r="C100" s="92"/>
      <c r="D100" s="92"/>
      <c r="F100"/>
    </row>
    <row r="101" spans="1:4" s="11" customFormat="1" ht="12.75">
      <c r="A101" s="92"/>
      <c r="B101" s="92"/>
      <c r="C101" s="92"/>
      <c r="D101" s="92"/>
    </row>
    <row r="102" spans="1:4" s="11" customFormat="1" ht="12.75">
      <c r="A102" s="92"/>
      <c r="B102" s="92"/>
      <c r="C102" s="92"/>
      <c r="D102" s="92"/>
    </row>
    <row r="103" spans="1:4" s="11" customFormat="1" ht="12.75">
      <c r="A103" s="92"/>
      <c r="B103" s="92"/>
      <c r="C103" s="92"/>
      <c r="D103" s="92"/>
    </row>
    <row r="104" spans="1:4" s="12" customFormat="1" ht="12.75">
      <c r="A104" s="92"/>
      <c r="B104" s="92"/>
      <c r="C104" s="92"/>
      <c r="D104" s="92"/>
    </row>
    <row r="105" spans="1:4" s="11" customFormat="1" ht="12.75">
      <c r="A105" s="92"/>
      <c r="B105" s="92"/>
      <c r="C105" s="92"/>
      <c r="D105" s="92"/>
    </row>
    <row r="106" spans="1:4" s="11" customFormat="1" ht="12.75">
      <c r="A106" s="92"/>
      <c r="B106" s="92"/>
      <c r="C106" s="92"/>
      <c r="D106" s="92"/>
    </row>
    <row r="107" spans="1:6" ht="12.75">
      <c r="A107" s="92"/>
      <c r="B107" s="92"/>
      <c r="C107" s="92"/>
      <c r="D107" s="92"/>
      <c r="F107"/>
    </row>
    <row r="108" spans="1:6" ht="12.75">
      <c r="A108" s="92"/>
      <c r="B108" s="92"/>
      <c r="C108" s="92"/>
      <c r="D108" s="92"/>
      <c r="F108"/>
    </row>
    <row r="109" spans="1:9" ht="12.75">
      <c r="A109" s="92"/>
      <c r="B109" s="92"/>
      <c r="C109" s="92"/>
      <c r="D109" s="92"/>
      <c r="E109" s="23"/>
      <c r="F109" s="22"/>
      <c r="G109" s="23"/>
      <c r="H109" s="23"/>
      <c r="I109" s="24"/>
    </row>
    <row r="110" spans="1:9" ht="12.75">
      <c r="A110" s="92"/>
      <c r="B110" s="92"/>
      <c r="C110" s="92"/>
      <c r="D110" s="92"/>
      <c r="E110" s="23"/>
      <c r="F110" s="22"/>
      <c r="G110" s="23"/>
      <c r="H110" s="23"/>
      <c r="I110" s="24"/>
    </row>
    <row r="111" spans="5:9" ht="12.75">
      <c r="E111" s="23"/>
      <c r="F111" s="22"/>
      <c r="G111" s="23"/>
      <c r="H111" s="23"/>
      <c r="I111" s="24"/>
    </row>
  </sheetData>
  <sheetProtection/>
  <mergeCells count="6">
    <mergeCell ref="A92:D110"/>
    <mergeCell ref="A1:F1"/>
    <mergeCell ref="J1:Q1"/>
    <mergeCell ref="A2:N2"/>
    <mergeCell ref="A3:C3"/>
    <mergeCell ref="D3:F3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/>
  <dimension ref="A2:D6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6.8515625" style="0" customWidth="1"/>
    <col min="2" max="2" width="11.28125" style="0" customWidth="1"/>
    <col min="3" max="3" width="9.421875" style="0" customWidth="1"/>
    <col min="5" max="5" width="10.57421875" style="0" customWidth="1"/>
    <col min="6" max="6" width="10.00390625" style="0" customWidth="1"/>
    <col min="11" max="11" width="8.28125" style="0" customWidth="1"/>
    <col min="14" max="14" width="13.28125" style="0" bestFit="1" customWidth="1"/>
  </cols>
  <sheetData>
    <row r="2" spans="1:3" ht="12.75">
      <c r="A2" t="s">
        <v>12</v>
      </c>
      <c r="C2" s="5">
        <v>0.12</v>
      </c>
    </row>
    <row r="3" spans="1:3" ht="12.75">
      <c r="A3" t="s">
        <v>10</v>
      </c>
      <c r="C3" s="4">
        <v>0.141</v>
      </c>
    </row>
    <row r="4" spans="1:3" ht="12.75">
      <c r="A4" t="s">
        <v>11</v>
      </c>
      <c r="C4">
        <v>1665</v>
      </c>
    </row>
    <row r="5" spans="1:3" ht="12.75">
      <c r="A5" t="s">
        <v>13</v>
      </c>
      <c r="C5" s="5">
        <v>0.02</v>
      </c>
    </row>
    <row r="6" spans="1:4" ht="12.75">
      <c r="A6" t="s">
        <v>17</v>
      </c>
      <c r="C6" s="4">
        <v>0.094</v>
      </c>
      <c r="D6" t="s">
        <v>50</v>
      </c>
    </row>
  </sheetData>
  <sheetProtection/>
  <printOptions/>
  <pageMargins left="0.787401575" right="0.787401575" top="0.984251969" bottom="0.984251969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Høgskolen i Oslo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Forodden</dc:creator>
  <cp:keywords/>
  <dc:description/>
  <cp:lastModifiedBy>Berit Mathisen</cp:lastModifiedBy>
  <cp:lastPrinted>2016-11-24T15:49:42Z</cp:lastPrinted>
  <dcterms:created xsi:type="dcterms:W3CDTF">2002-01-04T12:48:40Z</dcterms:created>
  <dcterms:modified xsi:type="dcterms:W3CDTF">2024-01-31T13:32:05Z</dcterms:modified>
  <cp:category/>
  <cp:version/>
  <cp:contentType/>
  <cp:contentStatus/>
</cp:coreProperties>
</file>